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100" windowWidth="15195" windowHeight="6720" tabRatio="590" firstSheet="1" activeTab="2"/>
  </bookViews>
  <sheets>
    <sheet name="Asset % to Portfolio" sheetId="3" state="hidden" r:id="rId1"/>
    <sheet name="Investment Position" sheetId="5" r:id="rId2"/>
    <sheet name="WebPosting" sheetId="6" r:id="rId3"/>
    <sheet name="INV500 " sheetId="2" r:id="rId4"/>
    <sheet name="Time Deposits" sheetId="4" r:id="rId5"/>
  </sheets>
  <externalReferences>
    <externalReference r:id="rId6"/>
  </externalReferences>
  <definedNames>
    <definedName name="_xlnm._FilterDatabase" localSheetId="3" hidden="1">'INV500 '!$A$1:$AM$528</definedName>
    <definedName name="_xlnm._FilterDatabase" localSheetId="4" hidden="1">'Time Deposits'!$A$1:$AA$717</definedName>
    <definedName name="_xlnm.Print_Area" localSheetId="0">'Asset % to Portfolio'!$A$1:$W$40</definedName>
    <definedName name="_xlnm.Print_Area" localSheetId="2">WebPosting!$A$1:$E$549</definedName>
  </definedNames>
  <calcPr calcId="145621"/>
</workbook>
</file>

<file path=xl/calcChain.xml><?xml version="1.0" encoding="utf-8"?>
<calcChain xmlns="http://schemas.openxmlformats.org/spreadsheetml/2006/main">
  <c r="C213" i="6" l="1"/>
  <c r="D213" i="6"/>
  <c r="E213" i="6"/>
  <c r="A213" i="6"/>
  <c r="C294" i="6" l="1"/>
  <c r="D294" i="6"/>
  <c r="E294" i="6"/>
  <c r="C241" i="6" l="1"/>
  <c r="D241" i="6"/>
  <c r="E241" i="6"/>
  <c r="A241" i="6"/>
  <c r="C228" i="6"/>
  <c r="D228" i="6"/>
  <c r="E228" i="6"/>
  <c r="A228" i="6"/>
  <c r="C259" i="6"/>
  <c r="D259" i="6"/>
  <c r="E259" i="6"/>
  <c r="A259" i="6"/>
  <c r="C215" i="6"/>
  <c r="D215" i="6"/>
  <c r="E215" i="6"/>
  <c r="C216" i="6"/>
  <c r="D216" i="6"/>
  <c r="E216" i="6"/>
  <c r="A215" i="6"/>
  <c r="A216" i="6"/>
  <c r="C214" i="6" l="1"/>
  <c r="D214" i="6"/>
  <c r="E214" i="6"/>
  <c r="A214" i="6"/>
  <c r="C70" i="6"/>
  <c r="D70" i="6"/>
  <c r="E70" i="6"/>
  <c r="A70" i="6"/>
  <c r="C67" i="6"/>
  <c r="D67" i="6"/>
  <c r="E67" i="6"/>
  <c r="A67" i="6"/>
  <c r="D11" i="6"/>
  <c r="C326" i="6" l="1"/>
  <c r="D326" i="6"/>
  <c r="E326" i="6"/>
  <c r="A326" i="6"/>
  <c r="C323" i="6"/>
  <c r="D323" i="6"/>
  <c r="E323" i="6"/>
  <c r="A323" i="6"/>
  <c r="C98" i="6"/>
  <c r="D98" i="6"/>
  <c r="E98" i="6"/>
  <c r="A98" i="6"/>
  <c r="C69" i="6"/>
  <c r="D69" i="6"/>
  <c r="E69" i="6"/>
  <c r="A69" i="6"/>
  <c r="C275" i="6" l="1"/>
  <c r="D275" i="6"/>
  <c r="E275" i="6"/>
  <c r="A275" i="6"/>
  <c r="C211" i="6"/>
  <c r="D211" i="6"/>
  <c r="E211" i="6"/>
  <c r="A211" i="6"/>
  <c r="C206" i="6"/>
  <c r="D206" i="6"/>
  <c r="E206" i="6"/>
  <c r="A206" i="6"/>
  <c r="C367" i="6"/>
  <c r="D367" i="6"/>
  <c r="E367" i="6"/>
  <c r="A367" i="6"/>
  <c r="C366" i="6"/>
  <c r="D366" i="6"/>
  <c r="E366" i="6"/>
  <c r="A366" i="6"/>
  <c r="A359" i="6" l="1"/>
  <c r="E359" i="6"/>
  <c r="D359" i="6"/>
  <c r="C359" i="6"/>
  <c r="E68" i="6" l="1"/>
  <c r="D68" i="6"/>
  <c r="C68" i="6"/>
  <c r="A294" i="6"/>
  <c r="A68" i="6"/>
  <c r="C391" i="6"/>
  <c r="D391" i="6"/>
  <c r="E391" i="6"/>
  <c r="A391" i="6"/>
  <c r="C6" i="6"/>
  <c r="C7" i="6"/>
  <c r="C8" i="6"/>
  <c r="C9" i="6"/>
  <c r="C10" i="6"/>
  <c r="D295" i="6" l="1"/>
  <c r="E295" i="6"/>
  <c r="C295" i="6"/>
  <c r="A295" i="6"/>
  <c r="D465" i="6"/>
  <c r="A465" i="6"/>
  <c r="S1" i="4"/>
  <c r="C210" i="6" l="1"/>
  <c r="D210" i="6"/>
  <c r="E210" i="6"/>
  <c r="A210" i="6"/>
  <c r="C205" i="6"/>
  <c r="D205" i="6"/>
  <c r="E205" i="6"/>
  <c r="A205" i="6"/>
  <c r="C195" i="6"/>
  <c r="D195" i="6"/>
  <c r="E195" i="6"/>
  <c r="C196" i="6"/>
  <c r="D196" i="6"/>
  <c r="E196" i="6"/>
  <c r="A195" i="6"/>
  <c r="A196" i="6"/>
  <c r="C110" i="6"/>
  <c r="D110" i="6"/>
  <c r="E110" i="6"/>
  <c r="A110" i="6"/>
  <c r="C97" i="6"/>
  <c r="D97" i="6"/>
  <c r="E97" i="6"/>
  <c r="A97" i="6"/>
  <c r="C79" i="6"/>
  <c r="D79" i="6"/>
  <c r="E79" i="6"/>
  <c r="A79" i="6"/>
  <c r="AA2" i="4" l="1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C96" i="6"/>
  <c r="D96" i="6"/>
  <c r="E96" i="6"/>
  <c r="A96" i="6"/>
  <c r="L3" i="2"/>
  <c r="M3" i="2"/>
  <c r="N3" i="2"/>
  <c r="L4" i="2"/>
  <c r="M4" i="2"/>
  <c r="N4" i="2"/>
  <c r="L5" i="2"/>
  <c r="M5" i="2"/>
  <c r="N5" i="2"/>
  <c r="L32" i="2"/>
  <c r="M32" i="2"/>
  <c r="N32" i="2"/>
  <c r="L21" i="2"/>
  <c r="M21" i="2"/>
  <c r="N21" i="2"/>
  <c r="L10" i="2"/>
  <c r="M10" i="2"/>
  <c r="N10" i="2"/>
  <c r="L12" i="2"/>
  <c r="M12" i="2"/>
  <c r="N12" i="2"/>
  <c r="L20" i="2"/>
  <c r="M20" i="2"/>
  <c r="N20" i="2"/>
  <c r="L13" i="2"/>
  <c r="M13" i="2"/>
  <c r="N13" i="2"/>
  <c r="L28" i="2"/>
  <c r="M28" i="2"/>
  <c r="N28" i="2"/>
  <c r="L16" i="2"/>
  <c r="M16" i="2"/>
  <c r="N16" i="2"/>
  <c r="L19" i="2"/>
  <c r="M19" i="2"/>
  <c r="N19" i="2"/>
  <c r="L18" i="2"/>
  <c r="M18" i="2"/>
  <c r="N18" i="2"/>
  <c r="L11" i="2"/>
  <c r="M11" i="2"/>
  <c r="N11" i="2"/>
  <c r="L29" i="2"/>
  <c r="M29" i="2"/>
  <c r="N29" i="2"/>
  <c r="L15" i="2"/>
  <c r="M15" i="2"/>
  <c r="N15" i="2"/>
  <c r="L14" i="2"/>
  <c r="M14" i="2"/>
  <c r="N14" i="2"/>
  <c r="L6" i="2"/>
  <c r="M6" i="2"/>
  <c r="N6" i="2"/>
  <c r="L31" i="2"/>
  <c r="M31" i="2"/>
  <c r="N31" i="2"/>
  <c r="L7" i="2"/>
  <c r="M7" i="2"/>
  <c r="N7" i="2"/>
  <c r="L8" i="2"/>
  <c r="M8" i="2"/>
  <c r="N8" i="2"/>
  <c r="L30" i="2"/>
  <c r="M30" i="2"/>
  <c r="N30" i="2"/>
  <c r="L9" i="2"/>
  <c r="M9" i="2"/>
  <c r="N9" i="2"/>
  <c r="L17" i="2"/>
  <c r="M17" i="2"/>
  <c r="N17" i="2"/>
  <c r="L27" i="2"/>
  <c r="M27" i="2"/>
  <c r="N27" i="2"/>
  <c r="L22" i="2"/>
  <c r="M22" i="2"/>
  <c r="N22" i="2"/>
  <c r="L33" i="2"/>
  <c r="M33" i="2"/>
  <c r="N33" i="2"/>
  <c r="L23" i="2"/>
  <c r="M23" i="2"/>
  <c r="N23" i="2"/>
  <c r="L34" i="2"/>
  <c r="M34" i="2"/>
  <c r="N34" i="2"/>
  <c r="L24" i="2"/>
  <c r="M24" i="2"/>
  <c r="N24" i="2"/>
  <c r="L25" i="2"/>
  <c r="M25" i="2"/>
  <c r="N25" i="2"/>
  <c r="L26" i="2"/>
  <c r="M26" i="2"/>
  <c r="N26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L81" i="2"/>
  <c r="M81" i="2"/>
  <c r="N81" i="2"/>
  <c r="L82" i="2"/>
  <c r="M82" i="2"/>
  <c r="N82" i="2"/>
  <c r="L83" i="2"/>
  <c r="M83" i="2"/>
  <c r="N83" i="2"/>
  <c r="L84" i="2"/>
  <c r="M84" i="2"/>
  <c r="N84" i="2"/>
  <c r="L85" i="2"/>
  <c r="M85" i="2"/>
  <c r="N85" i="2"/>
  <c r="L86" i="2"/>
  <c r="M86" i="2"/>
  <c r="N86" i="2"/>
  <c r="L87" i="2"/>
  <c r="M87" i="2"/>
  <c r="N87" i="2"/>
  <c r="L88" i="2"/>
  <c r="M88" i="2"/>
  <c r="N88" i="2"/>
  <c r="L89" i="2"/>
  <c r="M89" i="2"/>
  <c r="N89" i="2"/>
  <c r="L90" i="2"/>
  <c r="M90" i="2"/>
  <c r="N90" i="2"/>
  <c r="L91" i="2"/>
  <c r="M91" i="2"/>
  <c r="N91" i="2"/>
  <c r="L92" i="2"/>
  <c r="M92" i="2"/>
  <c r="N92" i="2"/>
  <c r="L93" i="2"/>
  <c r="M93" i="2"/>
  <c r="N93" i="2"/>
  <c r="L94" i="2"/>
  <c r="M94" i="2"/>
  <c r="N94" i="2"/>
  <c r="L95" i="2"/>
  <c r="M95" i="2"/>
  <c r="N95" i="2"/>
  <c r="L96" i="2"/>
  <c r="M96" i="2"/>
  <c r="N96" i="2"/>
  <c r="L97" i="2"/>
  <c r="M97" i="2"/>
  <c r="N97" i="2"/>
  <c r="L98" i="2"/>
  <c r="M98" i="2"/>
  <c r="N98" i="2"/>
  <c r="L99" i="2"/>
  <c r="M99" i="2"/>
  <c r="N99" i="2"/>
  <c r="L100" i="2"/>
  <c r="M100" i="2"/>
  <c r="N100" i="2"/>
  <c r="L101" i="2"/>
  <c r="M101" i="2"/>
  <c r="N101" i="2"/>
  <c r="L102" i="2"/>
  <c r="M102" i="2"/>
  <c r="N102" i="2"/>
  <c r="L103" i="2"/>
  <c r="M103" i="2"/>
  <c r="N103" i="2"/>
  <c r="L104" i="2"/>
  <c r="M104" i="2"/>
  <c r="N104" i="2"/>
  <c r="L105" i="2"/>
  <c r="M105" i="2"/>
  <c r="N105" i="2"/>
  <c r="L106" i="2"/>
  <c r="M106" i="2"/>
  <c r="N106" i="2"/>
  <c r="L107" i="2"/>
  <c r="M107" i="2"/>
  <c r="N107" i="2"/>
  <c r="L108" i="2"/>
  <c r="M108" i="2"/>
  <c r="N108" i="2"/>
  <c r="L109" i="2"/>
  <c r="M109" i="2"/>
  <c r="N109" i="2"/>
  <c r="L110" i="2"/>
  <c r="M110" i="2"/>
  <c r="N110" i="2"/>
  <c r="L111" i="2"/>
  <c r="M111" i="2"/>
  <c r="N111" i="2"/>
  <c r="L112" i="2"/>
  <c r="M112" i="2"/>
  <c r="N112" i="2"/>
  <c r="L113" i="2"/>
  <c r="M113" i="2"/>
  <c r="N113" i="2"/>
  <c r="L114" i="2"/>
  <c r="M114" i="2"/>
  <c r="N114" i="2"/>
  <c r="L115" i="2"/>
  <c r="M115" i="2"/>
  <c r="N115" i="2"/>
  <c r="L116" i="2"/>
  <c r="M116" i="2"/>
  <c r="N116" i="2"/>
  <c r="L117" i="2"/>
  <c r="M117" i="2"/>
  <c r="N117" i="2"/>
  <c r="L118" i="2"/>
  <c r="M118" i="2"/>
  <c r="N118" i="2"/>
  <c r="L119" i="2"/>
  <c r="M119" i="2"/>
  <c r="N119" i="2"/>
  <c r="L120" i="2"/>
  <c r="M120" i="2"/>
  <c r="N120" i="2"/>
  <c r="L121" i="2"/>
  <c r="M121" i="2"/>
  <c r="N121" i="2"/>
  <c r="L122" i="2"/>
  <c r="M122" i="2"/>
  <c r="N122" i="2"/>
  <c r="L123" i="2"/>
  <c r="M123" i="2"/>
  <c r="N123" i="2"/>
  <c r="L124" i="2"/>
  <c r="M124" i="2"/>
  <c r="N124" i="2"/>
  <c r="L125" i="2"/>
  <c r="M125" i="2"/>
  <c r="N125" i="2"/>
  <c r="L126" i="2"/>
  <c r="M126" i="2"/>
  <c r="N126" i="2"/>
  <c r="L127" i="2"/>
  <c r="M127" i="2"/>
  <c r="N127" i="2"/>
  <c r="L128" i="2"/>
  <c r="M128" i="2"/>
  <c r="N128" i="2"/>
  <c r="L129" i="2"/>
  <c r="M129" i="2"/>
  <c r="N129" i="2"/>
  <c r="L130" i="2"/>
  <c r="M130" i="2"/>
  <c r="N130" i="2"/>
  <c r="L131" i="2"/>
  <c r="M131" i="2"/>
  <c r="N131" i="2"/>
  <c r="L132" i="2"/>
  <c r="M132" i="2"/>
  <c r="N132" i="2"/>
  <c r="L133" i="2"/>
  <c r="M133" i="2"/>
  <c r="N133" i="2"/>
  <c r="L134" i="2"/>
  <c r="M134" i="2"/>
  <c r="N134" i="2"/>
  <c r="L135" i="2"/>
  <c r="M135" i="2"/>
  <c r="N135" i="2"/>
  <c r="L136" i="2"/>
  <c r="M136" i="2"/>
  <c r="N136" i="2"/>
  <c r="L137" i="2"/>
  <c r="M137" i="2"/>
  <c r="N137" i="2"/>
  <c r="L138" i="2"/>
  <c r="M138" i="2"/>
  <c r="N138" i="2"/>
  <c r="L139" i="2"/>
  <c r="M139" i="2"/>
  <c r="N139" i="2"/>
  <c r="L140" i="2"/>
  <c r="M140" i="2"/>
  <c r="N140" i="2"/>
  <c r="L141" i="2"/>
  <c r="M141" i="2"/>
  <c r="N141" i="2"/>
  <c r="L142" i="2"/>
  <c r="M142" i="2"/>
  <c r="N142" i="2"/>
  <c r="L143" i="2"/>
  <c r="M143" i="2"/>
  <c r="N143" i="2"/>
  <c r="L144" i="2"/>
  <c r="M144" i="2"/>
  <c r="N144" i="2"/>
  <c r="L145" i="2"/>
  <c r="M145" i="2"/>
  <c r="N145" i="2"/>
  <c r="L146" i="2"/>
  <c r="M146" i="2"/>
  <c r="N146" i="2"/>
  <c r="L147" i="2"/>
  <c r="M147" i="2"/>
  <c r="N147" i="2"/>
  <c r="L148" i="2"/>
  <c r="M148" i="2"/>
  <c r="N148" i="2"/>
  <c r="L149" i="2"/>
  <c r="M149" i="2"/>
  <c r="N149" i="2"/>
  <c r="L150" i="2"/>
  <c r="M150" i="2"/>
  <c r="N150" i="2"/>
  <c r="L151" i="2"/>
  <c r="M151" i="2"/>
  <c r="N151" i="2"/>
  <c r="L152" i="2"/>
  <c r="M152" i="2"/>
  <c r="N152" i="2"/>
  <c r="L153" i="2"/>
  <c r="M153" i="2"/>
  <c r="N153" i="2"/>
  <c r="L154" i="2"/>
  <c r="M154" i="2"/>
  <c r="N154" i="2"/>
  <c r="L155" i="2"/>
  <c r="M155" i="2"/>
  <c r="N155" i="2"/>
  <c r="L156" i="2"/>
  <c r="M156" i="2"/>
  <c r="N156" i="2"/>
  <c r="L157" i="2"/>
  <c r="M157" i="2"/>
  <c r="N157" i="2"/>
  <c r="L158" i="2"/>
  <c r="M158" i="2"/>
  <c r="N158" i="2"/>
  <c r="L159" i="2"/>
  <c r="M159" i="2"/>
  <c r="N159" i="2"/>
  <c r="L160" i="2"/>
  <c r="M160" i="2"/>
  <c r="N160" i="2"/>
  <c r="L161" i="2"/>
  <c r="M161" i="2"/>
  <c r="N161" i="2"/>
  <c r="L162" i="2"/>
  <c r="M162" i="2"/>
  <c r="N162" i="2"/>
  <c r="L163" i="2"/>
  <c r="M163" i="2"/>
  <c r="N163" i="2"/>
  <c r="L164" i="2"/>
  <c r="M164" i="2"/>
  <c r="N164" i="2"/>
  <c r="L165" i="2"/>
  <c r="M165" i="2"/>
  <c r="N165" i="2"/>
  <c r="L166" i="2"/>
  <c r="M166" i="2"/>
  <c r="N166" i="2"/>
  <c r="L167" i="2"/>
  <c r="M167" i="2"/>
  <c r="N167" i="2"/>
  <c r="L168" i="2"/>
  <c r="M168" i="2"/>
  <c r="N168" i="2"/>
  <c r="L169" i="2"/>
  <c r="M169" i="2"/>
  <c r="N169" i="2"/>
  <c r="L170" i="2"/>
  <c r="M170" i="2"/>
  <c r="N170" i="2"/>
  <c r="L171" i="2"/>
  <c r="M171" i="2"/>
  <c r="N171" i="2"/>
  <c r="L172" i="2"/>
  <c r="M172" i="2"/>
  <c r="N172" i="2"/>
  <c r="L173" i="2"/>
  <c r="M173" i="2"/>
  <c r="N173" i="2"/>
  <c r="L174" i="2"/>
  <c r="M174" i="2"/>
  <c r="N174" i="2"/>
  <c r="L175" i="2"/>
  <c r="M175" i="2"/>
  <c r="N175" i="2"/>
  <c r="L176" i="2"/>
  <c r="M176" i="2"/>
  <c r="N176" i="2"/>
  <c r="L177" i="2"/>
  <c r="M177" i="2"/>
  <c r="N177" i="2"/>
  <c r="L178" i="2"/>
  <c r="M178" i="2"/>
  <c r="N178" i="2"/>
  <c r="L179" i="2"/>
  <c r="M179" i="2"/>
  <c r="N179" i="2"/>
  <c r="L180" i="2"/>
  <c r="M180" i="2"/>
  <c r="N180" i="2"/>
  <c r="L181" i="2"/>
  <c r="M181" i="2"/>
  <c r="N181" i="2"/>
  <c r="L182" i="2"/>
  <c r="M182" i="2"/>
  <c r="N182" i="2"/>
  <c r="L183" i="2"/>
  <c r="M183" i="2"/>
  <c r="N183" i="2"/>
  <c r="L184" i="2"/>
  <c r="M184" i="2"/>
  <c r="N184" i="2"/>
  <c r="L185" i="2"/>
  <c r="M185" i="2"/>
  <c r="N185" i="2"/>
  <c r="L186" i="2"/>
  <c r="M186" i="2"/>
  <c r="N186" i="2"/>
  <c r="L187" i="2"/>
  <c r="M187" i="2"/>
  <c r="N187" i="2"/>
  <c r="L188" i="2"/>
  <c r="M188" i="2"/>
  <c r="N188" i="2"/>
  <c r="L189" i="2"/>
  <c r="M189" i="2"/>
  <c r="N189" i="2"/>
  <c r="L190" i="2"/>
  <c r="M190" i="2"/>
  <c r="N190" i="2"/>
  <c r="L191" i="2"/>
  <c r="M191" i="2"/>
  <c r="N191" i="2"/>
  <c r="L192" i="2"/>
  <c r="M192" i="2"/>
  <c r="N192" i="2"/>
  <c r="L193" i="2"/>
  <c r="M193" i="2"/>
  <c r="N193" i="2"/>
  <c r="L194" i="2"/>
  <c r="M194" i="2"/>
  <c r="N194" i="2"/>
  <c r="L195" i="2"/>
  <c r="M195" i="2"/>
  <c r="N195" i="2"/>
  <c r="L196" i="2"/>
  <c r="M196" i="2"/>
  <c r="N196" i="2"/>
  <c r="L197" i="2"/>
  <c r="M197" i="2"/>
  <c r="N197" i="2"/>
  <c r="L198" i="2"/>
  <c r="M198" i="2"/>
  <c r="N198" i="2"/>
  <c r="L199" i="2"/>
  <c r="M199" i="2"/>
  <c r="N199" i="2"/>
  <c r="L200" i="2"/>
  <c r="M200" i="2"/>
  <c r="N200" i="2"/>
  <c r="L201" i="2"/>
  <c r="M201" i="2"/>
  <c r="N201" i="2"/>
  <c r="L202" i="2"/>
  <c r="M202" i="2"/>
  <c r="N202" i="2"/>
  <c r="L203" i="2"/>
  <c r="M203" i="2"/>
  <c r="N203" i="2"/>
  <c r="L204" i="2"/>
  <c r="M204" i="2"/>
  <c r="N204" i="2"/>
  <c r="L205" i="2"/>
  <c r="M205" i="2"/>
  <c r="N205" i="2"/>
  <c r="L207" i="2"/>
  <c r="M207" i="2"/>
  <c r="N207" i="2"/>
  <c r="L206" i="2"/>
  <c r="M206" i="2"/>
  <c r="N206" i="2"/>
  <c r="L208" i="2"/>
  <c r="M208" i="2"/>
  <c r="N208" i="2"/>
  <c r="L209" i="2"/>
  <c r="M209" i="2"/>
  <c r="N209" i="2"/>
  <c r="L210" i="2"/>
  <c r="M210" i="2"/>
  <c r="N210" i="2"/>
  <c r="L211" i="2"/>
  <c r="M211" i="2"/>
  <c r="N211" i="2"/>
  <c r="L212" i="2"/>
  <c r="M212" i="2"/>
  <c r="N212" i="2"/>
  <c r="L213" i="2"/>
  <c r="M213" i="2"/>
  <c r="N213" i="2"/>
  <c r="L214" i="2"/>
  <c r="M214" i="2"/>
  <c r="N214" i="2"/>
  <c r="L215" i="2"/>
  <c r="M215" i="2"/>
  <c r="N215" i="2"/>
  <c r="L216" i="2"/>
  <c r="M216" i="2"/>
  <c r="N216" i="2"/>
  <c r="L217" i="2"/>
  <c r="M217" i="2"/>
  <c r="N217" i="2"/>
  <c r="L218" i="2"/>
  <c r="M218" i="2"/>
  <c r="N218" i="2"/>
  <c r="L219" i="2"/>
  <c r="M219" i="2"/>
  <c r="N219" i="2"/>
  <c r="L220" i="2"/>
  <c r="M220" i="2"/>
  <c r="N220" i="2"/>
  <c r="L221" i="2"/>
  <c r="M221" i="2"/>
  <c r="N221" i="2"/>
  <c r="L222" i="2"/>
  <c r="M222" i="2"/>
  <c r="N222" i="2"/>
  <c r="L223" i="2"/>
  <c r="M223" i="2"/>
  <c r="N223" i="2"/>
  <c r="L224" i="2"/>
  <c r="M224" i="2"/>
  <c r="N224" i="2"/>
  <c r="L225" i="2"/>
  <c r="M225" i="2"/>
  <c r="N225" i="2"/>
  <c r="L226" i="2"/>
  <c r="M226" i="2"/>
  <c r="N226" i="2"/>
  <c r="L227" i="2"/>
  <c r="M227" i="2"/>
  <c r="N227" i="2"/>
  <c r="L228" i="2"/>
  <c r="M228" i="2"/>
  <c r="N228" i="2"/>
  <c r="L229" i="2"/>
  <c r="M229" i="2"/>
  <c r="N229" i="2"/>
  <c r="L230" i="2"/>
  <c r="M230" i="2"/>
  <c r="N230" i="2"/>
  <c r="L231" i="2"/>
  <c r="M231" i="2"/>
  <c r="N231" i="2"/>
  <c r="L232" i="2"/>
  <c r="M232" i="2"/>
  <c r="N232" i="2"/>
  <c r="L233" i="2"/>
  <c r="M233" i="2"/>
  <c r="N233" i="2"/>
  <c r="L234" i="2"/>
  <c r="M234" i="2"/>
  <c r="N234" i="2"/>
  <c r="L235" i="2"/>
  <c r="M235" i="2"/>
  <c r="N235" i="2"/>
  <c r="L236" i="2"/>
  <c r="M236" i="2"/>
  <c r="N236" i="2"/>
  <c r="L237" i="2"/>
  <c r="M237" i="2"/>
  <c r="N237" i="2"/>
  <c r="L238" i="2"/>
  <c r="M238" i="2"/>
  <c r="N238" i="2"/>
  <c r="L239" i="2"/>
  <c r="M239" i="2"/>
  <c r="N239" i="2"/>
  <c r="L240" i="2"/>
  <c r="M240" i="2"/>
  <c r="N240" i="2"/>
  <c r="L241" i="2"/>
  <c r="M241" i="2"/>
  <c r="N241" i="2"/>
  <c r="L242" i="2"/>
  <c r="M242" i="2"/>
  <c r="N242" i="2"/>
  <c r="L243" i="2"/>
  <c r="M243" i="2"/>
  <c r="N243" i="2"/>
  <c r="L244" i="2"/>
  <c r="M244" i="2"/>
  <c r="N244" i="2"/>
  <c r="L245" i="2"/>
  <c r="M245" i="2"/>
  <c r="N245" i="2"/>
  <c r="L246" i="2"/>
  <c r="M246" i="2"/>
  <c r="N246" i="2"/>
  <c r="L247" i="2"/>
  <c r="M247" i="2"/>
  <c r="N247" i="2"/>
  <c r="L248" i="2"/>
  <c r="M248" i="2"/>
  <c r="N248" i="2"/>
  <c r="L249" i="2"/>
  <c r="M249" i="2"/>
  <c r="N249" i="2"/>
  <c r="L250" i="2"/>
  <c r="M250" i="2"/>
  <c r="N250" i="2"/>
  <c r="L251" i="2"/>
  <c r="M251" i="2"/>
  <c r="N251" i="2"/>
  <c r="L252" i="2"/>
  <c r="M252" i="2"/>
  <c r="N252" i="2"/>
  <c r="L253" i="2"/>
  <c r="M253" i="2"/>
  <c r="N253" i="2"/>
  <c r="L254" i="2"/>
  <c r="M254" i="2"/>
  <c r="N254" i="2"/>
  <c r="L255" i="2"/>
  <c r="M255" i="2"/>
  <c r="N255" i="2"/>
  <c r="L256" i="2"/>
  <c r="M256" i="2"/>
  <c r="N256" i="2"/>
  <c r="L257" i="2"/>
  <c r="M257" i="2"/>
  <c r="N257" i="2"/>
  <c r="L258" i="2"/>
  <c r="M258" i="2"/>
  <c r="N258" i="2"/>
  <c r="L259" i="2"/>
  <c r="M259" i="2"/>
  <c r="N259" i="2"/>
  <c r="L260" i="2"/>
  <c r="M260" i="2"/>
  <c r="N260" i="2"/>
  <c r="L261" i="2"/>
  <c r="M261" i="2"/>
  <c r="N261" i="2"/>
  <c r="L262" i="2"/>
  <c r="M262" i="2"/>
  <c r="N262" i="2"/>
  <c r="L263" i="2"/>
  <c r="M263" i="2"/>
  <c r="N263" i="2"/>
  <c r="L264" i="2"/>
  <c r="M264" i="2"/>
  <c r="N264" i="2"/>
  <c r="L265" i="2"/>
  <c r="M265" i="2"/>
  <c r="N265" i="2"/>
  <c r="L266" i="2"/>
  <c r="M266" i="2"/>
  <c r="N266" i="2"/>
  <c r="L267" i="2"/>
  <c r="M267" i="2"/>
  <c r="N267" i="2"/>
  <c r="L268" i="2"/>
  <c r="M268" i="2"/>
  <c r="N268" i="2"/>
  <c r="L269" i="2"/>
  <c r="M269" i="2"/>
  <c r="N269" i="2"/>
  <c r="L270" i="2"/>
  <c r="M270" i="2"/>
  <c r="N270" i="2"/>
  <c r="L271" i="2"/>
  <c r="M271" i="2"/>
  <c r="N271" i="2"/>
  <c r="L272" i="2"/>
  <c r="M272" i="2"/>
  <c r="N272" i="2"/>
  <c r="L273" i="2"/>
  <c r="M273" i="2"/>
  <c r="N273" i="2"/>
  <c r="L274" i="2"/>
  <c r="M274" i="2"/>
  <c r="N274" i="2"/>
  <c r="L275" i="2"/>
  <c r="M275" i="2"/>
  <c r="N275" i="2"/>
  <c r="L276" i="2"/>
  <c r="M276" i="2"/>
  <c r="N276" i="2"/>
  <c r="L277" i="2"/>
  <c r="M277" i="2"/>
  <c r="N277" i="2"/>
  <c r="L278" i="2"/>
  <c r="M278" i="2"/>
  <c r="N278" i="2"/>
  <c r="L279" i="2"/>
  <c r="M279" i="2"/>
  <c r="N279" i="2"/>
  <c r="L280" i="2"/>
  <c r="M280" i="2"/>
  <c r="N280" i="2"/>
  <c r="L281" i="2"/>
  <c r="M281" i="2"/>
  <c r="N281" i="2"/>
  <c r="L282" i="2"/>
  <c r="M282" i="2"/>
  <c r="N282" i="2"/>
  <c r="L283" i="2"/>
  <c r="M283" i="2"/>
  <c r="N283" i="2"/>
  <c r="L284" i="2"/>
  <c r="M284" i="2"/>
  <c r="N284" i="2"/>
  <c r="L285" i="2"/>
  <c r="M285" i="2"/>
  <c r="N285" i="2"/>
  <c r="L286" i="2"/>
  <c r="M286" i="2"/>
  <c r="N286" i="2"/>
  <c r="L287" i="2"/>
  <c r="M287" i="2"/>
  <c r="N287" i="2"/>
  <c r="L288" i="2"/>
  <c r="M288" i="2"/>
  <c r="N288" i="2"/>
  <c r="L289" i="2"/>
  <c r="M289" i="2"/>
  <c r="N289" i="2"/>
  <c r="L290" i="2"/>
  <c r="M290" i="2"/>
  <c r="N290" i="2"/>
  <c r="L291" i="2"/>
  <c r="M291" i="2"/>
  <c r="N291" i="2"/>
  <c r="L292" i="2"/>
  <c r="M292" i="2"/>
  <c r="N292" i="2"/>
  <c r="L293" i="2"/>
  <c r="M293" i="2"/>
  <c r="N293" i="2"/>
  <c r="L294" i="2"/>
  <c r="M294" i="2"/>
  <c r="N294" i="2"/>
  <c r="L295" i="2"/>
  <c r="M295" i="2"/>
  <c r="N295" i="2"/>
  <c r="L296" i="2"/>
  <c r="M296" i="2"/>
  <c r="N296" i="2"/>
  <c r="L297" i="2"/>
  <c r="M297" i="2"/>
  <c r="N297" i="2"/>
  <c r="L298" i="2"/>
  <c r="M298" i="2"/>
  <c r="N298" i="2"/>
  <c r="L299" i="2"/>
  <c r="M299" i="2"/>
  <c r="N299" i="2"/>
  <c r="L300" i="2"/>
  <c r="M300" i="2"/>
  <c r="N300" i="2"/>
  <c r="L301" i="2"/>
  <c r="M301" i="2"/>
  <c r="N301" i="2"/>
  <c r="L302" i="2"/>
  <c r="M302" i="2"/>
  <c r="N302" i="2"/>
  <c r="L303" i="2"/>
  <c r="M303" i="2"/>
  <c r="N303" i="2"/>
  <c r="L304" i="2"/>
  <c r="M304" i="2"/>
  <c r="N304" i="2"/>
  <c r="L305" i="2"/>
  <c r="M305" i="2"/>
  <c r="N305" i="2"/>
  <c r="L306" i="2"/>
  <c r="M306" i="2"/>
  <c r="N306" i="2"/>
  <c r="L307" i="2"/>
  <c r="M307" i="2"/>
  <c r="N307" i="2"/>
  <c r="L308" i="2"/>
  <c r="M308" i="2"/>
  <c r="N308" i="2"/>
  <c r="L309" i="2"/>
  <c r="M309" i="2"/>
  <c r="N309" i="2"/>
  <c r="L310" i="2"/>
  <c r="M310" i="2"/>
  <c r="N310" i="2"/>
  <c r="L311" i="2"/>
  <c r="M311" i="2"/>
  <c r="N311" i="2"/>
  <c r="L312" i="2"/>
  <c r="M312" i="2"/>
  <c r="N312" i="2"/>
  <c r="L313" i="2"/>
  <c r="M313" i="2"/>
  <c r="N313" i="2"/>
  <c r="L314" i="2"/>
  <c r="M314" i="2"/>
  <c r="N314" i="2"/>
  <c r="L315" i="2"/>
  <c r="M315" i="2"/>
  <c r="N315" i="2"/>
  <c r="L316" i="2"/>
  <c r="M316" i="2"/>
  <c r="N316" i="2"/>
  <c r="L317" i="2"/>
  <c r="M317" i="2"/>
  <c r="N317" i="2"/>
  <c r="L318" i="2"/>
  <c r="M318" i="2"/>
  <c r="N318" i="2"/>
  <c r="L319" i="2"/>
  <c r="M319" i="2"/>
  <c r="N319" i="2"/>
  <c r="L320" i="2"/>
  <c r="M320" i="2"/>
  <c r="N320" i="2"/>
  <c r="L321" i="2"/>
  <c r="M321" i="2"/>
  <c r="N321" i="2"/>
  <c r="L322" i="2"/>
  <c r="M322" i="2"/>
  <c r="N322" i="2"/>
  <c r="L323" i="2"/>
  <c r="M323" i="2"/>
  <c r="N323" i="2"/>
  <c r="L324" i="2"/>
  <c r="M324" i="2"/>
  <c r="N324" i="2"/>
  <c r="L325" i="2"/>
  <c r="M325" i="2"/>
  <c r="N325" i="2"/>
  <c r="L326" i="2"/>
  <c r="M326" i="2"/>
  <c r="N326" i="2"/>
  <c r="L327" i="2"/>
  <c r="M327" i="2"/>
  <c r="N327" i="2"/>
  <c r="L328" i="2"/>
  <c r="M328" i="2"/>
  <c r="N328" i="2"/>
  <c r="L329" i="2"/>
  <c r="M329" i="2"/>
  <c r="N329" i="2"/>
  <c r="L330" i="2"/>
  <c r="M330" i="2"/>
  <c r="N330" i="2"/>
  <c r="L331" i="2"/>
  <c r="M331" i="2"/>
  <c r="N331" i="2"/>
  <c r="L332" i="2"/>
  <c r="M332" i="2"/>
  <c r="N332" i="2"/>
  <c r="L333" i="2"/>
  <c r="M333" i="2"/>
  <c r="N333" i="2"/>
  <c r="L334" i="2"/>
  <c r="M334" i="2"/>
  <c r="N334" i="2"/>
  <c r="L335" i="2"/>
  <c r="M335" i="2"/>
  <c r="N335" i="2"/>
  <c r="L336" i="2"/>
  <c r="M336" i="2"/>
  <c r="N336" i="2"/>
  <c r="L337" i="2"/>
  <c r="M337" i="2"/>
  <c r="N337" i="2"/>
  <c r="L338" i="2"/>
  <c r="M338" i="2"/>
  <c r="N338" i="2"/>
  <c r="L339" i="2"/>
  <c r="M339" i="2"/>
  <c r="N339" i="2"/>
  <c r="L340" i="2"/>
  <c r="M340" i="2"/>
  <c r="N340" i="2"/>
  <c r="L341" i="2"/>
  <c r="M341" i="2"/>
  <c r="N341" i="2"/>
  <c r="L342" i="2"/>
  <c r="M342" i="2"/>
  <c r="N342" i="2"/>
  <c r="L343" i="2"/>
  <c r="M343" i="2"/>
  <c r="N343" i="2"/>
  <c r="L344" i="2"/>
  <c r="M344" i="2"/>
  <c r="N344" i="2"/>
  <c r="L345" i="2"/>
  <c r="M345" i="2"/>
  <c r="N345" i="2"/>
  <c r="L346" i="2"/>
  <c r="M346" i="2"/>
  <c r="N346" i="2"/>
  <c r="L347" i="2"/>
  <c r="M347" i="2"/>
  <c r="N347" i="2"/>
  <c r="L348" i="2"/>
  <c r="M348" i="2"/>
  <c r="N348" i="2"/>
  <c r="L349" i="2"/>
  <c r="M349" i="2"/>
  <c r="N349" i="2"/>
  <c r="L350" i="2"/>
  <c r="M350" i="2"/>
  <c r="N350" i="2"/>
  <c r="L351" i="2"/>
  <c r="M351" i="2"/>
  <c r="N351" i="2"/>
  <c r="L352" i="2"/>
  <c r="M352" i="2"/>
  <c r="N352" i="2"/>
  <c r="L353" i="2"/>
  <c r="M353" i="2"/>
  <c r="N353" i="2"/>
  <c r="L354" i="2"/>
  <c r="M354" i="2"/>
  <c r="N354" i="2"/>
  <c r="L355" i="2"/>
  <c r="M355" i="2"/>
  <c r="N355" i="2"/>
  <c r="L356" i="2"/>
  <c r="M356" i="2"/>
  <c r="N356" i="2"/>
  <c r="L357" i="2"/>
  <c r="M357" i="2"/>
  <c r="N357" i="2"/>
  <c r="L358" i="2"/>
  <c r="M358" i="2"/>
  <c r="N358" i="2"/>
  <c r="L359" i="2"/>
  <c r="M359" i="2"/>
  <c r="N359" i="2"/>
  <c r="L360" i="2"/>
  <c r="M360" i="2"/>
  <c r="N360" i="2"/>
  <c r="L361" i="2"/>
  <c r="M361" i="2"/>
  <c r="N361" i="2"/>
  <c r="L362" i="2"/>
  <c r="M362" i="2"/>
  <c r="N362" i="2"/>
  <c r="L363" i="2"/>
  <c r="M363" i="2"/>
  <c r="N363" i="2"/>
  <c r="L364" i="2"/>
  <c r="M364" i="2"/>
  <c r="N364" i="2"/>
  <c r="L365" i="2"/>
  <c r="M365" i="2"/>
  <c r="N365" i="2"/>
  <c r="L366" i="2"/>
  <c r="M366" i="2"/>
  <c r="N366" i="2"/>
  <c r="L367" i="2"/>
  <c r="M367" i="2"/>
  <c r="N367" i="2"/>
  <c r="L368" i="2"/>
  <c r="M368" i="2"/>
  <c r="N368" i="2"/>
  <c r="L369" i="2"/>
  <c r="M369" i="2"/>
  <c r="N369" i="2"/>
  <c r="L370" i="2"/>
  <c r="M370" i="2"/>
  <c r="N370" i="2"/>
  <c r="L371" i="2"/>
  <c r="M371" i="2"/>
  <c r="N371" i="2"/>
  <c r="L372" i="2"/>
  <c r="M372" i="2"/>
  <c r="N372" i="2"/>
  <c r="L373" i="2"/>
  <c r="M373" i="2"/>
  <c r="N373" i="2"/>
  <c r="L374" i="2"/>
  <c r="M374" i="2"/>
  <c r="N374" i="2"/>
  <c r="L375" i="2"/>
  <c r="M375" i="2"/>
  <c r="N375" i="2"/>
  <c r="L376" i="2"/>
  <c r="M376" i="2"/>
  <c r="N376" i="2"/>
  <c r="L377" i="2"/>
  <c r="M377" i="2"/>
  <c r="N377" i="2"/>
  <c r="N83" i="5" l="1"/>
  <c r="M83" i="5"/>
  <c r="L83" i="5"/>
  <c r="K83" i="5"/>
  <c r="J83" i="5"/>
  <c r="I83" i="5"/>
  <c r="H83" i="5"/>
  <c r="G83" i="5"/>
  <c r="F83" i="5"/>
  <c r="E83" i="5"/>
  <c r="D83" i="5"/>
  <c r="C83" i="5"/>
  <c r="C377" i="6" l="1"/>
  <c r="D377" i="6"/>
  <c r="E377" i="6"/>
  <c r="A377" i="6"/>
  <c r="D154" i="6" l="1"/>
  <c r="D185" i="6" l="1"/>
  <c r="C185" i="6"/>
  <c r="E185" i="6"/>
  <c r="A185" i="6"/>
  <c r="C194" i="6"/>
  <c r="D194" i="6"/>
  <c r="E194" i="6"/>
  <c r="A194" i="6"/>
  <c r="C90" i="6"/>
  <c r="D90" i="6"/>
  <c r="E90" i="6"/>
  <c r="C91" i="6"/>
  <c r="D91" i="6"/>
  <c r="E91" i="6"/>
  <c r="A90" i="6"/>
  <c r="A91" i="6"/>
  <c r="C230" i="6" l="1"/>
  <c r="D230" i="6"/>
  <c r="E230" i="6"/>
  <c r="A230" i="6"/>
  <c r="C419" i="6"/>
  <c r="D419" i="6"/>
  <c r="E419" i="6"/>
  <c r="A419" i="6"/>
  <c r="C193" i="6"/>
  <c r="D193" i="6"/>
  <c r="E193" i="6"/>
  <c r="A193" i="6"/>
  <c r="A8" i="6"/>
  <c r="A9" i="6"/>
  <c r="A10" i="6"/>
  <c r="A11" i="6"/>
  <c r="A12" i="6"/>
  <c r="A18" i="6"/>
  <c r="A19" i="6"/>
  <c r="C307" i="6" l="1"/>
  <c r="D307" i="6"/>
  <c r="E307" i="6"/>
  <c r="A307" i="6"/>
  <c r="C192" i="6"/>
  <c r="D192" i="6"/>
  <c r="E192" i="6"/>
  <c r="A192" i="6"/>
  <c r="C429" i="6" l="1"/>
  <c r="D429" i="6"/>
  <c r="E429" i="6"/>
  <c r="A429" i="6"/>
  <c r="C321" i="6"/>
  <c r="D321" i="6"/>
  <c r="E321" i="6"/>
  <c r="A321" i="6"/>
  <c r="C117" i="6"/>
  <c r="D117" i="6"/>
  <c r="E117" i="6"/>
  <c r="C118" i="6"/>
  <c r="D118" i="6"/>
  <c r="E118" i="6"/>
  <c r="C119" i="6"/>
  <c r="D119" i="6"/>
  <c r="E119" i="6"/>
  <c r="A117" i="6"/>
  <c r="A118" i="6"/>
  <c r="A119" i="6"/>
  <c r="D218" i="6" l="1"/>
  <c r="D217" i="6"/>
  <c r="D212" i="6"/>
  <c r="D209" i="6"/>
  <c r="D208" i="6"/>
  <c r="D207" i="6"/>
  <c r="D204" i="6"/>
  <c r="D203" i="6"/>
  <c r="D202" i="6"/>
  <c r="D201" i="6"/>
  <c r="D200" i="6"/>
  <c r="D199" i="6"/>
  <c r="D198" i="6"/>
  <c r="D197" i="6"/>
  <c r="D191" i="6"/>
  <c r="D190" i="6"/>
  <c r="D189" i="6"/>
  <c r="D188" i="6"/>
  <c r="D187" i="6"/>
  <c r="D186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C24" i="5" l="1"/>
  <c r="C66" i="5" l="1"/>
  <c r="D24" i="5"/>
  <c r="C316" i="6"/>
  <c r="D316" i="6"/>
  <c r="E316" i="6"/>
  <c r="A316" i="6"/>
  <c r="C257" i="6"/>
  <c r="D257" i="6"/>
  <c r="E257" i="6"/>
  <c r="A257" i="6"/>
  <c r="C190" i="6"/>
  <c r="E190" i="6"/>
  <c r="C191" i="6"/>
  <c r="E191" i="6"/>
  <c r="A190" i="6"/>
  <c r="A191" i="6"/>
  <c r="C116" i="6"/>
  <c r="D116" i="6"/>
  <c r="E116" i="6"/>
  <c r="A116" i="6"/>
  <c r="C59" i="6"/>
  <c r="D59" i="6"/>
  <c r="E59" i="6"/>
  <c r="A59" i="6"/>
  <c r="C189" i="6" l="1"/>
  <c r="E189" i="6"/>
  <c r="A189" i="6"/>
  <c r="C57" i="6"/>
  <c r="D57" i="6"/>
  <c r="E57" i="6"/>
  <c r="A57" i="6"/>
  <c r="C29" i="6"/>
  <c r="E154" i="6" l="1"/>
  <c r="C19" i="6"/>
  <c r="D19" i="6"/>
  <c r="E19" i="6"/>
  <c r="C12" i="6" l="1"/>
  <c r="D12" i="6"/>
  <c r="E12" i="6"/>
  <c r="C322" i="6"/>
  <c r="D322" i="6"/>
  <c r="E322" i="6"/>
  <c r="A322" i="6"/>
  <c r="C327" i="6"/>
  <c r="D327" i="6"/>
  <c r="E327" i="6"/>
  <c r="A327" i="6"/>
  <c r="C187" i="6"/>
  <c r="E187" i="6"/>
  <c r="C188" i="6"/>
  <c r="E188" i="6"/>
  <c r="A187" i="6"/>
  <c r="A188" i="6"/>
  <c r="C61" i="6"/>
  <c r="D61" i="6"/>
  <c r="E61" i="6"/>
  <c r="A61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1" i="6"/>
  <c r="D111" i="6"/>
  <c r="E111" i="6"/>
  <c r="C112" i="6"/>
  <c r="D112" i="6"/>
  <c r="E112" i="6"/>
  <c r="C113" i="6"/>
  <c r="D113" i="6"/>
  <c r="E113" i="6"/>
  <c r="C114" i="6"/>
  <c r="D114" i="6"/>
  <c r="E114" i="6"/>
  <c r="C115" i="6"/>
  <c r="D115" i="6"/>
  <c r="E115" i="6"/>
  <c r="A106" i="6"/>
  <c r="A107" i="6"/>
  <c r="A108" i="6"/>
  <c r="A109" i="6"/>
  <c r="A111" i="6"/>
  <c r="A112" i="6"/>
  <c r="A113" i="6"/>
  <c r="A114" i="6"/>
  <c r="A115" i="6"/>
  <c r="C18" i="6"/>
  <c r="D18" i="6"/>
  <c r="E18" i="6"/>
  <c r="C13" i="5" l="1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A2" i="5"/>
  <c r="E13" i="5" l="1"/>
  <c r="E186" i="6"/>
  <c r="C186" i="6"/>
  <c r="A186" i="6"/>
  <c r="C58" i="6" l="1"/>
  <c r="D58" i="6"/>
  <c r="E58" i="6"/>
  <c r="A58" i="6"/>
  <c r="A376" i="6" l="1"/>
  <c r="C376" i="6"/>
  <c r="E376" i="6"/>
  <c r="C55" i="6" l="1"/>
  <c r="D55" i="6"/>
  <c r="E55" i="6"/>
  <c r="C56" i="6"/>
  <c r="D56" i="6"/>
  <c r="E56" i="6"/>
  <c r="A55" i="6"/>
  <c r="A56" i="6"/>
  <c r="C53" i="6"/>
  <c r="D53" i="6"/>
  <c r="E53" i="6"/>
  <c r="A53" i="6"/>
  <c r="C324" i="6" l="1"/>
  <c r="D324" i="6"/>
  <c r="E324" i="6"/>
  <c r="A324" i="6"/>
  <c r="C319" i="6"/>
  <c r="D319" i="6"/>
  <c r="E319" i="6"/>
  <c r="A319" i="6"/>
  <c r="C416" i="6"/>
  <c r="D416" i="6"/>
  <c r="E416" i="6"/>
  <c r="A416" i="6"/>
  <c r="A417" i="6"/>
  <c r="C410" i="6"/>
  <c r="D410" i="6"/>
  <c r="E410" i="6"/>
  <c r="A410" i="6"/>
  <c r="C414" i="6"/>
  <c r="D414" i="6"/>
  <c r="E414" i="6"/>
  <c r="C415" i="6"/>
  <c r="D415" i="6"/>
  <c r="E415" i="6"/>
  <c r="A414" i="6"/>
  <c r="A415" i="6"/>
  <c r="C358" i="6"/>
  <c r="D358" i="6"/>
  <c r="E358" i="6"/>
  <c r="A358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A101" i="6"/>
  <c r="A102" i="6"/>
  <c r="A103" i="6"/>
  <c r="A104" i="6"/>
  <c r="C99" i="6"/>
  <c r="D99" i="6"/>
  <c r="E99" i="6"/>
  <c r="A99" i="6"/>
  <c r="C95" i="6"/>
  <c r="D95" i="6"/>
  <c r="E95" i="6"/>
  <c r="A95" i="6"/>
  <c r="C11" i="6"/>
  <c r="E11" i="6"/>
  <c r="E6" i="6"/>
  <c r="A6" i="6"/>
  <c r="D524" i="6" l="1"/>
  <c r="D523" i="6"/>
  <c r="D522" i="6"/>
  <c r="D521" i="6"/>
  <c r="D520" i="6"/>
  <c r="D519" i="6"/>
  <c r="D518" i="6"/>
  <c r="D517" i="6"/>
  <c r="D516" i="6"/>
  <c r="D509" i="6"/>
  <c r="A509" i="6"/>
  <c r="D506" i="6"/>
  <c r="A506" i="6"/>
  <c r="D505" i="6"/>
  <c r="A505" i="6"/>
  <c r="D504" i="6"/>
  <c r="A504" i="6"/>
  <c r="D503" i="6"/>
  <c r="A503" i="6"/>
  <c r="D502" i="6"/>
  <c r="A502" i="6"/>
  <c r="D501" i="6"/>
  <c r="A501" i="6"/>
  <c r="D500" i="6"/>
  <c r="A500" i="6"/>
  <c r="D499" i="6"/>
  <c r="A499" i="6"/>
  <c r="D498" i="6"/>
  <c r="A498" i="6"/>
  <c r="D497" i="6"/>
  <c r="A497" i="6"/>
  <c r="D496" i="6"/>
  <c r="A496" i="6"/>
  <c r="D495" i="6"/>
  <c r="A495" i="6"/>
  <c r="D494" i="6"/>
  <c r="A494" i="6"/>
  <c r="D493" i="6"/>
  <c r="A493" i="6"/>
  <c r="D492" i="6"/>
  <c r="A492" i="6"/>
  <c r="D491" i="6"/>
  <c r="A491" i="6"/>
  <c r="D490" i="6"/>
  <c r="A490" i="6"/>
  <c r="D489" i="6"/>
  <c r="A489" i="6"/>
  <c r="D488" i="6"/>
  <c r="A488" i="6"/>
  <c r="D487" i="6"/>
  <c r="A487" i="6"/>
  <c r="D486" i="6"/>
  <c r="A486" i="6"/>
  <c r="D485" i="6"/>
  <c r="A485" i="6"/>
  <c r="D484" i="6"/>
  <c r="A484" i="6"/>
  <c r="D483" i="6"/>
  <c r="A483" i="6"/>
  <c r="D482" i="6"/>
  <c r="A482" i="6"/>
  <c r="D481" i="6"/>
  <c r="A481" i="6"/>
  <c r="D480" i="6"/>
  <c r="A480" i="6"/>
  <c r="D479" i="6"/>
  <c r="A479" i="6"/>
  <c r="D478" i="6"/>
  <c r="A478" i="6"/>
  <c r="D477" i="6"/>
  <c r="A477" i="6"/>
  <c r="D476" i="6"/>
  <c r="A476" i="6"/>
  <c r="A475" i="6"/>
  <c r="D473" i="6"/>
  <c r="A473" i="6"/>
  <c r="D464" i="6"/>
  <c r="A464" i="6"/>
  <c r="D463" i="6"/>
  <c r="A463" i="6"/>
  <c r="D462" i="6"/>
  <c r="A462" i="6"/>
  <c r="D461" i="6"/>
  <c r="A461" i="6"/>
  <c r="D460" i="6"/>
  <c r="A460" i="6"/>
  <c r="D453" i="6"/>
  <c r="A453" i="6"/>
  <c r="D452" i="6"/>
  <c r="A452" i="6"/>
  <c r="D451" i="6"/>
  <c r="A451" i="6"/>
  <c r="D450" i="6"/>
  <c r="A450" i="6"/>
  <c r="D449" i="6"/>
  <c r="A449" i="6"/>
  <c r="D448" i="6"/>
  <c r="A448" i="6"/>
  <c r="D447" i="6"/>
  <c r="A447" i="6"/>
  <c r="D446" i="6"/>
  <c r="A446" i="6"/>
  <c r="D445" i="6"/>
  <c r="A445" i="6"/>
  <c r="D444" i="6"/>
  <c r="A444" i="6"/>
  <c r="D443" i="6"/>
  <c r="A443" i="6"/>
  <c r="D442" i="6"/>
  <c r="A442" i="6"/>
  <c r="D441" i="6"/>
  <c r="A441" i="6"/>
  <c r="D440" i="6"/>
  <c r="A440" i="6"/>
  <c r="D439" i="6"/>
  <c r="A439" i="6"/>
  <c r="D438" i="6"/>
  <c r="A438" i="6"/>
  <c r="D437" i="6"/>
  <c r="A437" i="6"/>
  <c r="D436" i="6"/>
  <c r="A436" i="6"/>
  <c r="E428" i="6"/>
  <c r="D428" i="6"/>
  <c r="C428" i="6"/>
  <c r="A428" i="6"/>
  <c r="E427" i="6"/>
  <c r="D427" i="6"/>
  <c r="C427" i="6"/>
  <c r="A427" i="6"/>
  <c r="E426" i="6"/>
  <c r="D426" i="6"/>
  <c r="C426" i="6"/>
  <c r="A426" i="6"/>
  <c r="E418" i="6"/>
  <c r="D418" i="6"/>
  <c r="C418" i="6"/>
  <c r="A418" i="6"/>
  <c r="E417" i="6"/>
  <c r="D417" i="6"/>
  <c r="C417" i="6"/>
  <c r="E413" i="6"/>
  <c r="D413" i="6"/>
  <c r="C413" i="6"/>
  <c r="A413" i="6"/>
  <c r="E412" i="6"/>
  <c r="D412" i="6"/>
  <c r="C412" i="6"/>
  <c r="A412" i="6"/>
  <c r="E411" i="6"/>
  <c r="D411" i="6"/>
  <c r="C411" i="6"/>
  <c r="A411" i="6"/>
  <c r="E409" i="6"/>
  <c r="D409" i="6"/>
  <c r="C409" i="6"/>
  <c r="A409" i="6"/>
  <c r="E402" i="6"/>
  <c r="D402" i="6"/>
  <c r="C402" i="6"/>
  <c r="A402" i="6"/>
  <c r="E401" i="6"/>
  <c r="D401" i="6"/>
  <c r="C401" i="6"/>
  <c r="A401" i="6"/>
  <c r="E400" i="6"/>
  <c r="D400" i="6"/>
  <c r="C400" i="6"/>
  <c r="A400" i="6"/>
  <c r="E393" i="6"/>
  <c r="D393" i="6"/>
  <c r="C393" i="6"/>
  <c r="A393" i="6"/>
  <c r="E392" i="6"/>
  <c r="D392" i="6"/>
  <c r="C392" i="6"/>
  <c r="A392" i="6"/>
  <c r="E390" i="6"/>
  <c r="D390" i="6"/>
  <c r="C390" i="6"/>
  <c r="A390" i="6"/>
  <c r="E389" i="6"/>
  <c r="D389" i="6"/>
  <c r="C389" i="6"/>
  <c r="A389" i="6"/>
  <c r="E388" i="6"/>
  <c r="D388" i="6"/>
  <c r="C388" i="6"/>
  <c r="A388" i="6"/>
  <c r="E387" i="6"/>
  <c r="D387" i="6"/>
  <c r="C387" i="6"/>
  <c r="A387" i="6"/>
  <c r="E386" i="6"/>
  <c r="D386" i="6"/>
  <c r="C386" i="6"/>
  <c r="A386" i="6"/>
  <c r="E385" i="6"/>
  <c r="D385" i="6"/>
  <c r="C385" i="6"/>
  <c r="A385" i="6"/>
  <c r="E384" i="6"/>
  <c r="D384" i="6"/>
  <c r="C384" i="6"/>
  <c r="A384" i="6"/>
  <c r="E365" i="6"/>
  <c r="D365" i="6"/>
  <c r="C365" i="6"/>
  <c r="A365" i="6"/>
  <c r="E364" i="6"/>
  <c r="D364" i="6"/>
  <c r="C364" i="6"/>
  <c r="A364" i="6"/>
  <c r="E363" i="6"/>
  <c r="D363" i="6"/>
  <c r="C363" i="6"/>
  <c r="A363" i="6"/>
  <c r="E362" i="6"/>
  <c r="D362" i="6"/>
  <c r="C362" i="6"/>
  <c r="A362" i="6"/>
  <c r="E361" i="6"/>
  <c r="D361" i="6"/>
  <c r="C361" i="6"/>
  <c r="A361" i="6"/>
  <c r="E360" i="6"/>
  <c r="D360" i="6"/>
  <c r="C360" i="6"/>
  <c r="A360" i="6"/>
  <c r="E357" i="6"/>
  <c r="D357" i="6"/>
  <c r="C357" i="6"/>
  <c r="A357" i="6"/>
  <c r="E356" i="6"/>
  <c r="D356" i="6"/>
  <c r="C356" i="6"/>
  <c r="A356" i="6"/>
  <c r="E355" i="6"/>
  <c r="D355" i="6"/>
  <c r="C355" i="6"/>
  <c r="A355" i="6"/>
  <c r="E354" i="6"/>
  <c r="D354" i="6"/>
  <c r="C354" i="6"/>
  <c r="A354" i="6"/>
  <c r="E353" i="6"/>
  <c r="D353" i="6"/>
  <c r="C353" i="6"/>
  <c r="A353" i="6"/>
  <c r="E352" i="6"/>
  <c r="D352" i="6"/>
  <c r="C352" i="6"/>
  <c r="A352" i="6"/>
  <c r="E351" i="6"/>
  <c r="D351" i="6"/>
  <c r="C351" i="6"/>
  <c r="A351" i="6"/>
  <c r="E350" i="6"/>
  <c r="D350" i="6"/>
  <c r="C350" i="6"/>
  <c r="A350" i="6"/>
  <c r="E343" i="6"/>
  <c r="D343" i="6"/>
  <c r="C343" i="6"/>
  <c r="A343" i="6"/>
  <c r="E342" i="6"/>
  <c r="D342" i="6"/>
  <c r="C342" i="6"/>
  <c r="A342" i="6"/>
  <c r="E341" i="6"/>
  <c r="D341" i="6"/>
  <c r="C341" i="6"/>
  <c r="A341" i="6"/>
  <c r="E340" i="6"/>
  <c r="D340" i="6"/>
  <c r="C340" i="6"/>
  <c r="A340" i="6"/>
  <c r="E339" i="6"/>
  <c r="D339" i="6"/>
  <c r="C339" i="6"/>
  <c r="A339" i="6"/>
  <c r="E338" i="6"/>
  <c r="D338" i="6"/>
  <c r="C338" i="6"/>
  <c r="A338" i="6"/>
  <c r="E337" i="6"/>
  <c r="D337" i="6"/>
  <c r="C337" i="6"/>
  <c r="A337" i="6"/>
  <c r="E336" i="6"/>
  <c r="D336" i="6"/>
  <c r="C336" i="6"/>
  <c r="A336" i="6"/>
  <c r="E335" i="6"/>
  <c r="D335" i="6"/>
  <c r="C335" i="6"/>
  <c r="A335" i="6"/>
  <c r="E334" i="6"/>
  <c r="D334" i="6"/>
  <c r="C334" i="6"/>
  <c r="A334" i="6"/>
  <c r="E333" i="6"/>
  <c r="D333" i="6"/>
  <c r="C333" i="6"/>
  <c r="A333" i="6"/>
  <c r="E332" i="6"/>
  <c r="D332" i="6"/>
  <c r="C332" i="6"/>
  <c r="A332" i="6"/>
  <c r="E331" i="6"/>
  <c r="D331" i="6"/>
  <c r="C331" i="6"/>
  <c r="A331" i="6"/>
  <c r="E330" i="6"/>
  <c r="D330" i="6"/>
  <c r="C330" i="6"/>
  <c r="A330" i="6"/>
  <c r="E329" i="6"/>
  <c r="D329" i="6"/>
  <c r="C329" i="6"/>
  <c r="A329" i="6"/>
  <c r="E328" i="6"/>
  <c r="D328" i="6"/>
  <c r="C328" i="6"/>
  <c r="A328" i="6"/>
  <c r="E325" i="6"/>
  <c r="D325" i="6"/>
  <c r="C325" i="6"/>
  <c r="A325" i="6"/>
  <c r="E320" i="6"/>
  <c r="D320" i="6"/>
  <c r="C320" i="6"/>
  <c r="A320" i="6"/>
  <c r="E318" i="6"/>
  <c r="D318" i="6"/>
  <c r="C318" i="6"/>
  <c r="A318" i="6"/>
  <c r="E317" i="6"/>
  <c r="D317" i="6"/>
  <c r="C317" i="6"/>
  <c r="A317" i="6"/>
  <c r="E315" i="6"/>
  <c r="D315" i="6"/>
  <c r="C315" i="6"/>
  <c r="A315" i="6"/>
  <c r="E314" i="6"/>
  <c r="D314" i="6"/>
  <c r="C314" i="6"/>
  <c r="A314" i="6"/>
  <c r="E313" i="6"/>
  <c r="D313" i="6"/>
  <c r="C313" i="6"/>
  <c r="A313" i="6"/>
  <c r="E312" i="6"/>
  <c r="D312" i="6"/>
  <c r="C312" i="6"/>
  <c r="A312" i="6"/>
  <c r="E311" i="6"/>
  <c r="D311" i="6"/>
  <c r="C311" i="6"/>
  <c r="A311" i="6"/>
  <c r="E310" i="6"/>
  <c r="D310" i="6"/>
  <c r="C310" i="6"/>
  <c r="A310" i="6"/>
  <c r="E309" i="6"/>
  <c r="D309" i="6"/>
  <c r="C309" i="6"/>
  <c r="A309" i="6"/>
  <c r="E308" i="6"/>
  <c r="D308" i="6"/>
  <c r="C308" i="6"/>
  <c r="A308" i="6"/>
  <c r="E306" i="6"/>
  <c r="D306" i="6"/>
  <c r="C306" i="6"/>
  <c r="A306" i="6"/>
  <c r="E305" i="6"/>
  <c r="D305" i="6"/>
  <c r="C305" i="6"/>
  <c r="A305" i="6"/>
  <c r="E304" i="6"/>
  <c r="D304" i="6"/>
  <c r="C304" i="6"/>
  <c r="A304" i="6"/>
  <c r="E303" i="6"/>
  <c r="D303" i="6"/>
  <c r="C303" i="6"/>
  <c r="A303" i="6"/>
  <c r="E302" i="6"/>
  <c r="D302" i="6"/>
  <c r="C302" i="6"/>
  <c r="A302" i="6"/>
  <c r="E301" i="6"/>
  <c r="D301" i="6"/>
  <c r="C301" i="6"/>
  <c r="A301" i="6"/>
  <c r="E300" i="6"/>
  <c r="D300" i="6"/>
  <c r="C300" i="6"/>
  <c r="A300" i="6"/>
  <c r="E299" i="6"/>
  <c r="D299" i="6"/>
  <c r="C299" i="6"/>
  <c r="A299" i="6"/>
  <c r="E298" i="6"/>
  <c r="D298" i="6"/>
  <c r="C298" i="6"/>
  <c r="A298" i="6"/>
  <c r="E297" i="6"/>
  <c r="D297" i="6"/>
  <c r="C297" i="6"/>
  <c r="A297" i="6"/>
  <c r="E296" i="6"/>
  <c r="D296" i="6"/>
  <c r="C296" i="6"/>
  <c r="A296" i="6"/>
  <c r="E293" i="6"/>
  <c r="D293" i="6"/>
  <c r="C293" i="6"/>
  <c r="A293" i="6"/>
  <c r="E292" i="6"/>
  <c r="D292" i="6"/>
  <c r="C292" i="6"/>
  <c r="A292" i="6"/>
  <c r="E291" i="6"/>
  <c r="D291" i="6"/>
  <c r="C291" i="6"/>
  <c r="A291" i="6"/>
  <c r="E290" i="6"/>
  <c r="D290" i="6"/>
  <c r="C290" i="6"/>
  <c r="A290" i="6"/>
  <c r="E289" i="6"/>
  <c r="D289" i="6"/>
  <c r="C289" i="6"/>
  <c r="A289" i="6"/>
  <c r="E288" i="6"/>
  <c r="D288" i="6"/>
  <c r="C288" i="6"/>
  <c r="A288" i="6"/>
  <c r="E287" i="6"/>
  <c r="D287" i="6"/>
  <c r="C287" i="6"/>
  <c r="A287" i="6"/>
  <c r="E286" i="6"/>
  <c r="D286" i="6"/>
  <c r="C286" i="6"/>
  <c r="A286" i="6"/>
  <c r="E285" i="6"/>
  <c r="D285" i="6"/>
  <c r="C285" i="6"/>
  <c r="A285" i="6"/>
  <c r="E284" i="6"/>
  <c r="D284" i="6"/>
  <c r="C284" i="6"/>
  <c r="A284" i="6"/>
  <c r="E283" i="6"/>
  <c r="D283" i="6"/>
  <c r="C283" i="6"/>
  <c r="A283" i="6"/>
  <c r="E282" i="6"/>
  <c r="D282" i="6"/>
  <c r="C282" i="6"/>
  <c r="A282" i="6"/>
  <c r="E281" i="6"/>
  <c r="D281" i="6"/>
  <c r="C281" i="6"/>
  <c r="A281" i="6"/>
  <c r="E280" i="6"/>
  <c r="D280" i="6"/>
  <c r="C280" i="6"/>
  <c r="A280" i="6"/>
  <c r="E279" i="6"/>
  <c r="D279" i="6"/>
  <c r="C279" i="6"/>
  <c r="A279" i="6"/>
  <c r="E278" i="6"/>
  <c r="D278" i="6"/>
  <c r="C278" i="6"/>
  <c r="A278" i="6"/>
  <c r="E277" i="6"/>
  <c r="D277" i="6"/>
  <c r="C277" i="6"/>
  <c r="A277" i="6"/>
  <c r="E276" i="6"/>
  <c r="D276" i="6"/>
  <c r="C276" i="6"/>
  <c r="A276" i="6"/>
  <c r="E274" i="6"/>
  <c r="D274" i="6"/>
  <c r="C274" i="6"/>
  <c r="A274" i="6"/>
  <c r="E273" i="6"/>
  <c r="D273" i="6"/>
  <c r="C273" i="6"/>
  <c r="A273" i="6"/>
  <c r="E272" i="6"/>
  <c r="D272" i="6"/>
  <c r="C272" i="6"/>
  <c r="A272" i="6"/>
  <c r="E271" i="6"/>
  <c r="D271" i="6"/>
  <c r="C271" i="6"/>
  <c r="A271" i="6"/>
  <c r="E270" i="6"/>
  <c r="D270" i="6"/>
  <c r="C270" i="6"/>
  <c r="A270" i="6"/>
  <c r="E269" i="6"/>
  <c r="D269" i="6"/>
  <c r="C269" i="6"/>
  <c r="A269" i="6"/>
  <c r="E268" i="6"/>
  <c r="D268" i="6"/>
  <c r="C268" i="6"/>
  <c r="A268" i="6"/>
  <c r="E267" i="6"/>
  <c r="D267" i="6"/>
  <c r="C267" i="6"/>
  <c r="A267" i="6"/>
  <c r="E266" i="6"/>
  <c r="D266" i="6"/>
  <c r="C266" i="6"/>
  <c r="A266" i="6"/>
  <c r="E265" i="6"/>
  <c r="D265" i="6"/>
  <c r="C265" i="6"/>
  <c r="A265" i="6"/>
  <c r="E264" i="6"/>
  <c r="D264" i="6"/>
  <c r="C264" i="6"/>
  <c r="A264" i="6"/>
  <c r="E263" i="6"/>
  <c r="D263" i="6"/>
  <c r="C263" i="6"/>
  <c r="A263" i="6"/>
  <c r="E262" i="6"/>
  <c r="D262" i="6"/>
  <c r="C262" i="6"/>
  <c r="A262" i="6"/>
  <c r="E261" i="6"/>
  <c r="D261" i="6"/>
  <c r="C261" i="6"/>
  <c r="A261" i="6"/>
  <c r="E260" i="6"/>
  <c r="D260" i="6"/>
  <c r="C260" i="6"/>
  <c r="A260" i="6"/>
  <c r="E258" i="6"/>
  <c r="D258" i="6"/>
  <c r="C258" i="6"/>
  <c r="A258" i="6"/>
  <c r="E256" i="6"/>
  <c r="D256" i="6"/>
  <c r="C256" i="6"/>
  <c r="A256" i="6"/>
  <c r="E255" i="6"/>
  <c r="D255" i="6"/>
  <c r="C255" i="6"/>
  <c r="A255" i="6"/>
  <c r="E254" i="6"/>
  <c r="D254" i="6"/>
  <c r="C254" i="6"/>
  <c r="A254" i="6"/>
  <c r="E253" i="6"/>
  <c r="D253" i="6"/>
  <c r="C253" i="6"/>
  <c r="A253" i="6"/>
  <c r="E252" i="6"/>
  <c r="D252" i="6"/>
  <c r="C252" i="6"/>
  <c r="A252" i="6"/>
  <c r="E251" i="6"/>
  <c r="D251" i="6"/>
  <c r="C251" i="6"/>
  <c r="A251" i="6"/>
  <c r="E250" i="6"/>
  <c r="D250" i="6"/>
  <c r="C250" i="6"/>
  <c r="A250" i="6"/>
  <c r="E249" i="6"/>
  <c r="D249" i="6"/>
  <c r="C249" i="6"/>
  <c r="A249" i="6"/>
  <c r="E248" i="6"/>
  <c r="D248" i="6"/>
  <c r="C248" i="6"/>
  <c r="A248" i="6"/>
  <c r="E247" i="6"/>
  <c r="D247" i="6"/>
  <c r="C247" i="6"/>
  <c r="A247" i="6"/>
  <c r="E246" i="6"/>
  <c r="D246" i="6"/>
  <c r="C246" i="6"/>
  <c r="A246" i="6"/>
  <c r="E245" i="6"/>
  <c r="D245" i="6"/>
  <c r="C245" i="6"/>
  <c r="A245" i="6"/>
  <c r="E244" i="6"/>
  <c r="D244" i="6"/>
  <c r="C244" i="6"/>
  <c r="A244" i="6"/>
  <c r="E243" i="6"/>
  <c r="D243" i="6"/>
  <c r="C243" i="6"/>
  <c r="A243" i="6"/>
  <c r="E242" i="6"/>
  <c r="D242" i="6"/>
  <c r="C242" i="6"/>
  <c r="A242" i="6"/>
  <c r="E240" i="6"/>
  <c r="D240" i="6"/>
  <c r="C240" i="6"/>
  <c r="A240" i="6"/>
  <c r="E239" i="6"/>
  <c r="D239" i="6"/>
  <c r="C239" i="6"/>
  <c r="A239" i="6"/>
  <c r="E238" i="6"/>
  <c r="D238" i="6"/>
  <c r="C238" i="6"/>
  <c r="A238" i="6"/>
  <c r="E237" i="6"/>
  <c r="D237" i="6"/>
  <c r="C237" i="6"/>
  <c r="A237" i="6"/>
  <c r="E236" i="6"/>
  <c r="D236" i="6"/>
  <c r="C236" i="6"/>
  <c r="A236" i="6"/>
  <c r="E235" i="6"/>
  <c r="D235" i="6"/>
  <c r="C235" i="6"/>
  <c r="A235" i="6"/>
  <c r="E234" i="6"/>
  <c r="D234" i="6"/>
  <c r="C234" i="6"/>
  <c r="A234" i="6"/>
  <c r="E233" i="6"/>
  <c r="D233" i="6"/>
  <c r="C233" i="6"/>
  <c r="A233" i="6"/>
  <c r="E232" i="6"/>
  <c r="D232" i="6"/>
  <c r="C232" i="6"/>
  <c r="A232" i="6"/>
  <c r="E231" i="6"/>
  <c r="D231" i="6"/>
  <c r="C231" i="6"/>
  <c r="A231" i="6"/>
  <c r="E229" i="6"/>
  <c r="D229" i="6"/>
  <c r="C229" i="6"/>
  <c r="A229" i="6"/>
  <c r="E227" i="6"/>
  <c r="D227" i="6"/>
  <c r="C227" i="6"/>
  <c r="A227" i="6"/>
  <c r="E226" i="6"/>
  <c r="D226" i="6"/>
  <c r="C226" i="6"/>
  <c r="A226" i="6"/>
  <c r="E225" i="6"/>
  <c r="D225" i="6"/>
  <c r="C225" i="6"/>
  <c r="A225" i="6"/>
  <c r="D376" i="6"/>
  <c r="D379" i="6" s="1"/>
  <c r="E218" i="6"/>
  <c r="C218" i="6"/>
  <c r="A218" i="6"/>
  <c r="E217" i="6"/>
  <c r="C217" i="6"/>
  <c r="A217" i="6"/>
  <c r="E212" i="6"/>
  <c r="C212" i="6"/>
  <c r="A212" i="6"/>
  <c r="E209" i="6"/>
  <c r="C209" i="6"/>
  <c r="A209" i="6"/>
  <c r="E208" i="6"/>
  <c r="C208" i="6"/>
  <c r="A208" i="6"/>
  <c r="E207" i="6"/>
  <c r="C207" i="6"/>
  <c r="A207" i="6"/>
  <c r="E204" i="6"/>
  <c r="C204" i="6"/>
  <c r="A204" i="6"/>
  <c r="E203" i="6"/>
  <c r="C203" i="6"/>
  <c r="A203" i="6"/>
  <c r="E202" i="6"/>
  <c r="C202" i="6"/>
  <c r="A202" i="6"/>
  <c r="E201" i="6"/>
  <c r="C201" i="6"/>
  <c r="A201" i="6"/>
  <c r="E200" i="6"/>
  <c r="C200" i="6"/>
  <c r="A200" i="6"/>
  <c r="E199" i="6"/>
  <c r="C199" i="6"/>
  <c r="A199" i="6"/>
  <c r="E198" i="6"/>
  <c r="C198" i="6"/>
  <c r="A198" i="6"/>
  <c r="E197" i="6"/>
  <c r="C197" i="6"/>
  <c r="A197" i="6"/>
  <c r="E184" i="6"/>
  <c r="C184" i="6"/>
  <c r="A184" i="6"/>
  <c r="E183" i="6"/>
  <c r="C183" i="6"/>
  <c r="A183" i="6"/>
  <c r="E182" i="6"/>
  <c r="C182" i="6"/>
  <c r="A182" i="6"/>
  <c r="E181" i="6"/>
  <c r="C181" i="6"/>
  <c r="A181" i="6"/>
  <c r="E180" i="6"/>
  <c r="C180" i="6"/>
  <c r="A180" i="6"/>
  <c r="E179" i="6"/>
  <c r="C179" i="6"/>
  <c r="A179" i="6"/>
  <c r="E178" i="6"/>
  <c r="C178" i="6"/>
  <c r="A178" i="6"/>
  <c r="E177" i="6"/>
  <c r="C177" i="6"/>
  <c r="A177" i="6"/>
  <c r="E176" i="6"/>
  <c r="C176" i="6"/>
  <c r="A176" i="6"/>
  <c r="E175" i="6"/>
  <c r="C175" i="6"/>
  <c r="A175" i="6"/>
  <c r="E174" i="6"/>
  <c r="C174" i="6"/>
  <c r="A174" i="6"/>
  <c r="E173" i="6"/>
  <c r="C173" i="6"/>
  <c r="A173" i="6"/>
  <c r="E172" i="6"/>
  <c r="C172" i="6"/>
  <c r="A172" i="6"/>
  <c r="E171" i="6"/>
  <c r="C171" i="6"/>
  <c r="A171" i="6"/>
  <c r="E170" i="6"/>
  <c r="C170" i="6"/>
  <c r="A170" i="6"/>
  <c r="E169" i="6"/>
  <c r="C169" i="6"/>
  <c r="A169" i="6"/>
  <c r="E168" i="6"/>
  <c r="C168" i="6"/>
  <c r="A168" i="6"/>
  <c r="E167" i="6"/>
  <c r="C167" i="6"/>
  <c r="A167" i="6"/>
  <c r="E166" i="6"/>
  <c r="C166" i="6"/>
  <c r="A166" i="6"/>
  <c r="E165" i="6"/>
  <c r="C165" i="6"/>
  <c r="A165" i="6"/>
  <c r="E164" i="6"/>
  <c r="C164" i="6"/>
  <c r="A164" i="6"/>
  <c r="E163" i="6"/>
  <c r="C163" i="6"/>
  <c r="A163" i="6"/>
  <c r="E162" i="6"/>
  <c r="C162" i="6"/>
  <c r="A162" i="6"/>
  <c r="E161" i="6"/>
  <c r="C161" i="6"/>
  <c r="A161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E105" i="6"/>
  <c r="D105" i="6"/>
  <c r="C105" i="6"/>
  <c r="A105" i="6"/>
  <c r="E100" i="6"/>
  <c r="D100" i="6"/>
  <c r="C100" i="6"/>
  <c r="A100" i="6"/>
  <c r="E94" i="6"/>
  <c r="D94" i="6"/>
  <c r="C94" i="6"/>
  <c r="A94" i="6"/>
  <c r="E93" i="6"/>
  <c r="D93" i="6"/>
  <c r="C93" i="6"/>
  <c r="A93" i="6"/>
  <c r="E92" i="6"/>
  <c r="D92" i="6"/>
  <c r="C92" i="6"/>
  <c r="A92" i="6"/>
  <c r="E89" i="6"/>
  <c r="D89" i="6"/>
  <c r="C89" i="6"/>
  <c r="A89" i="6"/>
  <c r="E88" i="6"/>
  <c r="D88" i="6"/>
  <c r="C88" i="6"/>
  <c r="A88" i="6"/>
  <c r="E87" i="6"/>
  <c r="D87" i="6"/>
  <c r="C87" i="6"/>
  <c r="A87" i="6"/>
  <c r="E86" i="6"/>
  <c r="D86" i="6"/>
  <c r="C86" i="6"/>
  <c r="A86" i="6"/>
  <c r="E85" i="6"/>
  <c r="D85" i="6"/>
  <c r="C85" i="6"/>
  <c r="A85" i="6"/>
  <c r="E84" i="6"/>
  <c r="D84" i="6"/>
  <c r="C84" i="6"/>
  <c r="A84" i="6"/>
  <c r="E83" i="6"/>
  <c r="D83" i="6"/>
  <c r="C83" i="6"/>
  <c r="A83" i="6"/>
  <c r="E82" i="6"/>
  <c r="D82" i="6"/>
  <c r="C82" i="6"/>
  <c r="A82" i="6"/>
  <c r="E81" i="6"/>
  <c r="D81" i="6"/>
  <c r="C81" i="6"/>
  <c r="A81" i="6"/>
  <c r="E80" i="6"/>
  <c r="D80" i="6"/>
  <c r="C80" i="6"/>
  <c r="A80" i="6"/>
  <c r="E78" i="6"/>
  <c r="D78" i="6"/>
  <c r="C78" i="6"/>
  <c r="A78" i="6"/>
  <c r="E77" i="6"/>
  <c r="D77" i="6"/>
  <c r="C77" i="6"/>
  <c r="A77" i="6"/>
  <c r="E76" i="6"/>
  <c r="D76" i="6"/>
  <c r="C76" i="6"/>
  <c r="A76" i="6"/>
  <c r="E75" i="6"/>
  <c r="D75" i="6"/>
  <c r="C75" i="6"/>
  <c r="A75" i="6"/>
  <c r="E74" i="6"/>
  <c r="D74" i="6"/>
  <c r="C74" i="6"/>
  <c r="A74" i="6"/>
  <c r="E73" i="6"/>
  <c r="D73" i="6"/>
  <c r="C73" i="6"/>
  <c r="A73" i="6"/>
  <c r="E72" i="6"/>
  <c r="D72" i="6"/>
  <c r="C72" i="6"/>
  <c r="A72" i="6"/>
  <c r="E71" i="6"/>
  <c r="D71" i="6"/>
  <c r="C71" i="6"/>
  <c r="A71" i="6"/>
  <c r="E66" i="6"/>
  <c r="D66" i="6"/>
  <c r="C66" i="6"/>
  <c r="A66" i="6"/>
  <c r="E65" i="6"/>
  <c r="D65" i="6"/>
  <c r="C65" i="6"/>
  <c r="A65" i="6"/>
  <c r="E64" i="6"/>
  <c r="D64" i="6"/>
  <c r="C64" i="6"/>
  <c r="A64" i="6"/>
  <c r="E63" i="6"/>
  <c r="D63" i="6"/>
  <c r="C63" i="6"/>
  <c r="A63" i="6"/>
  <c r="E62" i="6"/>
  <c r="D62" i="6"/>
  <c r="C62" i="6"/>
  <c r="A62" i="6"/>
  <c r="E60" i="6"/>
  <c r="D60" i="6"/>
  <c r="C60" i="6"/>
  <c r="A60" i="6"/>
  <c r="E54" i="6"/>
  <c r="D54" i="6"/>
  <c r="C54" i="6"/>
  <c r="A54" i="6"/>
  <c r="E52" i="6"/>
  <c r="D52" i="6"/>
  <c r="C52" i="6"/>
  <c r="A52" i="6"/>
  <c r="E51" i="6"/>
  <c r="D51" i="6"/>
  <c r="C51" i="6"/>
  <c r="A51" i="6"/>
  <c r="E50" i="6"/>
  <c r="D50" i="6"/>
  <c r="C50" i="6"/>
  <c r="A50" i="6"/>
  <c r="E49" i="6"/>
  <c r="D49" i="6"/>
  <c r="C49" i="6"/>
  <c r="A49" i="6"/>
  <c r="E48" i="6"/>
  <c r="D48" i="6"/>
  <c r="C48" i="6"/>
  <c r="A48" i="6"/>
  <c r="E47" i="6"/>
  <c r="D47" i="6"/>
  <c r="C47" i="6"/>
  <c r="A47" i="6"/>
  <c r="E46" i="6"/>
  <c r="D46" i="6"/>
  <c r="C46" i="6"/>
  <c r="A46" i="6"/>
  <c r="E45" i="6"/>
  <c r="D45" i="6"/>
  <c r="C45" i="6"/>
  <c r="A45" i="6"/>
  <c r="E44" i="6"/>
  <c r="D44" i="6"/>
  <c r="C44" i="6"/>
  <c r="A44" i="6"/>
  <c r="E43" i="6"/>
  <c r="D43" i="6"/>
  <c r="C43" i="6"/>
  <c r="A43" i="6"/>
  <c r="E42" i="6"/>
  <c r="D42" i="6"/>
  <c r="C42" i="6"/>
  <c r="A42" i="6"/>
  <c r="E41" i="6"/>
  <c r="D41" i="6"/>
  <c r="C41" i="6"/>
  <c r="A41" i="6"/>
  <c r="E40" i="6"/>
  <c r="D40" i="6"/>
  <c r="C40" i="6"/>
  <c r="A40" i="6"/>
  <c r="E39" i="6"/>
  <c r="D39" i="6"/>
  <c r="C39" i="6"/>
  <c r="A39" i="6"/>
  <c r="E38" i="6"/>
  <c r="D38" i="6"/>
  <c r="C38" i="6"/>
  <c r="A38" i="6"/>
  <c r="E37" i="6"/>
  <c r="D37" i="6"/>
  <c r="C37" i="6"/>
  <c r="A37" i="6"/>
  <c r="E36" i="6"/>
  <c r="D36" i="6"/>
  <c r="C36" i="6"/>
  <c r="A36" i="6"/>
  <c r="E35" i="6"/>
  <c r="D35" i="6"/>
  <c r="C35" i="6"/>
  <c r="A35" i="6"/>
  <c r="E34" i="6"/>
  <c r="D34" i="6"/>
  <c r="C34" i="6"/>
  <c r="A34" i="6"/>
  <c r="E33" i="6"/>
  <c r="D33" i="6"/>
  <c r="C33" i="6"/>
  <c r="A33" i="6"/>
  <c r="E32" i="6"/>
  <c r="D32" i="6"/>
  <c r="C32" i="6"/>
  <c r="A32" i="6"/>
  <c r="E31" i="6"/>
  <c r="D31" i="6"/>
  <c r="C31" i="6"/>
  <c r="A31" i="6"/>
  <c r="E30" i="6"/>
  <c r="D30" i="6"/>
  <c r="C30" i="6"/>
  <c r="A30" i="6"/>
  <c r="E29" i="6"/>
  <c r="D29" i="6"/>
  <c r="A29" i="6"/>
  <c r="E28" i="6"/>
  <c r="D28" i="6"/>
  <c r="C28" i="6"/>
  <c r="A28" i="6"/>
  <c r="E27" i="6"/>
  <c r="D27" i="6"/>
  <c r="C27" i="6"/>
  <c r="A27" i="6"/>
  <c r="E26" i="6"/>
  <c r="D26" i="6"/>
  <c r="C26" i="6"/>
  <c r="A26" i="6"/>
  <c r="E17" i="6"/>
  <c r="D17" i="6"/>
  <c r="C17" i="6"/>
  <c r="A17" i="6"/>
  <c r="E10" i="6"/>
  <c r="D10" i="6"/>
  <c r="E9" i="6"/>
  <c r="D9" i="6"/>
  <c r="E8" i="6"/>
  <c r="D8" i="6"/>
  <c r="E7" i="6"/>
  <c r="D7" i="6"/>
  <c r="A7" i="6"/>
  <c r="D6" i="6"/>
  <c r="A2" i="6"/>
  <c r="G472" i="6"/>
  <c r="O3" i="6" s="1"/>
  <c r="H506" i="6"/>
  <c r="H507" i="6"/>
  <c r="D525" i="6"/>
  <c r="D156" i="6" l="1"/>
  <c r="D121" i="6"/>
  <c r="D220" i="6"/>
  <c r="G213" i="6" s="1"/>
  <c r="D421" i="6"/>
  <c r="G501" i="6"/>
  <c r="D467" i="6"/>
  <c r="G506" i="6"/>
  <c r="G505" i="6"/>
  <c r="H518" i="6"/>
  <c r="D345" i="6"/>
  <c r="G503" i="6"/>
  <c r="D369" i="6"/>
  <c r="D404" i="6"/>
  <c r="D472" i="6"/>
  <c r="G475" i="6" s="1"/>
  <c r="D21" i="6"/>
  <c r="D14" i="6"/>
  <c r="G502" i="6"/>
  <c r="G500" i="6"/>
  <c r="D431" i="6"/>
  <c r="G504" i="6"/>
  <c r="A533" i="6"/>
  <c r="D455" i="6"/>
  <c r="D395" i="6"/>
  <c r="G241" i="6" l="1"/>
  <c r="G294" i="6"/>
  <c r="G228" i="6"/>
  <c r="G259" i="6"/>
  <c r="G214" i="6"/>
  <c r="G216" i="6"/>
  <c r="G215" i="6"/>
  <c r="G67" i="6"/>
  <c r="G70" i="6"/>
  <c r="G326" i="6"/>
  <c r="G323" i="6"/>
  <c r="G69" i="6"/>
  <c r="G98" i="6"/>
  <c r="G68" i="6"/>
  <c r="G275" i="6"/>
  <c r="G206" i="6"/>
  <c r="G211" i="6"/>
  <c r="G366" i="6"/>
  <c r="G367" i="6"/>
  <c r="G359" i="6"/>
  <c r="G391" i="6"/>
  <c r="G394" i="6"/>
  <c r="G377" i="6"/>
  <c r="G295" i="6"/>
  <c r="G205" i="6"/>
  <c r="G210" i="6"/>
  <c r="G185" i="6"/>
  <c r="G195" i="6"/>
  <c r="G196" i="6"/>
  <c r="G97" i="6"/>
  <c r="G110" i="6"/>
  <c r="G96" i="6"/>
  <c r="G79" i="6"/>
  <c r="G194" i="6"/>
  <c r="G90" i="6"/>
  <c r="G91" i="6"/>
  <c r="G230" i="6"/>
  <c r="G419" i="6"/>
  <c r="G192" i="6"/>
  <c r="G193" i="6"/>
  <c r="G307" i="6"/>
  <c r="G321" i="6"/>
  <c r="G429" i="6"/>
  <c r="G116" i="6"/>
  <c r="G117" i="6"/>
  <c r="G119" i="6"/>
  <c r="G118" i="6"/>
  <c r="G316" i="6"/>
  <c r="G257" i="6"/>
  <c r="G191" i="6"/>
  <c r="G190" i="6"/>
  <c r="G62" i="6"/>
  <c r="G59" i="6"/>
  <c r="G322" i="6"/>
  <c r="G327" i="6"/>
  <c r="G324" i="6"/>
  <c r="G120" i="6"/>
  <c r="G57" i="6"/>
  <c r="G61" i="6"/>
  <c r="G113" i="6"/>
  <c r="G115" i="6"/>
  <c r="G112" i="6"/>
  <c r="G114" i="6"/>
  <c r="G58" i="6"/>
  <c r="G189" i="6"/>
  <c r="G187" i="6"/>
  <c r="G188" i="6"/>
  <c r="G197" i="6"/>
  <c r="G328" i="6"/>
  <c r="G60" i="6"/>
  <c r="G325" i="6"/>
  <c r="G219" i="6"/>
  <c r="G186" i="6"/>
  <c r="G376" i="6"/>
  <c r="G375" i="6" s="1"/>
  <c r="G108" i="6"/>
  <c r="G109" i="6"/>
  <c r="G182" i="6"/>
  <c r="G170" i="6"/>
  <c r="G166" i="6"/>
  <c r="G218" i="6"/>
  <c r="G198" i="6"/>
  <c r="G208" i="6"/>
  <c r="G178" i="6"/>
  <c r="G162" i="6"/>
  <c r="G202" i="6"/>
  <c r="G174" i="6"/>
  <c r="G203" i="6"/>
  <c r="G183" i="6"/>
  <c r="G175" i="6"/>
  <c r="G167" i="6"/>
  <c r="G209" i="6"/>
  <c r="G199" i="6"/>
  <c r="G179" i="6"/>
  <c r="G171" i="6"/>
  <c r="G163" i="6"/>
  <c r="G217" i="6"/>
  <c r="G207" i="6"/>
  <c r="G201" i="6"/>
  <c r="G181" i="6"/>
  <c r="G177" i="6"/>
  <c r="G173" i="6"/>
  <c r="G169" i="6"/>
  <c r="G165" i="6"/>
  <c r="G161" i="6"/>
  <c r="G212" i="6"/>
  <c r="G204" i="6"/>
  <c r="G200" i="6"/>
  <c r="G184" i="6"/>
  <c r="G180" i="6"/>
  <c r="G176" i="6"/>
  <c r="G172" i="6"/>
  <c r="G168" i="6"/>
  <c r="G164" i="6"/>
  <c r="G53" i="6"/>
  <c r="G56" i="6"/>
  <c r="G55" i="6"/>
  <c r="G319" i="6"/>
  <c r="G416" i="6"/>
  <c r="G410" i="6"/>
  <c r="G415" i="6"/>
  <c r="G414" i="6"/>
  <c r="G358" i="6"/>
  <c r="D526" i="6"/>
  <c r="D527" i="6" s="1"/>
  <c r="G107" i="6"/>
  <c r="G111" i="6"/>
  <c r="G106" i="6"/>
  <c r="G99" i="6"/>
  <c r="G102" i="6"/>
  <c r="G103" i="6"/>
  <c r="G104" i="6"/>
  <c r="G101" i="6"/>
  <c r="G11" i="6"/>
  <c r="G75" i="6"/>
  <c r="G95" i="6"/>
  <c r="G85" i="6"/>
  <c r="G39" i="6"/>
  <c r="G74" i="6"/>
  <c r="G64" i="6"/>
  <c r="G27" i="6"/>
  <c r="G41" i="6"/>
  <c r="G36" i="6"/>
  <c r="G42" i="6"/>
  <c r="G40" i="6"/>
  <c r="G83" i="6"/>
  <c r="G44" i="6"/>
  <c r="G78" i="6"/>
  <c r="G80" i="6"/>
  <c r="G65" i="6"/>
  <c r="G35" i="6"/>
  <c r="G84" i="6"/>
  <c r="G26" i="6"/>
  <c r="G82" i="6"/>
  <c r="G31" i="6"/>
  <c r="G88" i="6"/>
  <c r="G38" i="6"/>
  <c r="G86" i="6"/>
  <c r="G52" i="6"/>
  <c r="G105" i="6"/>
  <c r="G29" i="6"/>
  <c r="G45" i="6"/>
  <c r="G72" i="6"/>
  <c r="G89" i="6"/>
  <c r="G66" i="6"/>
  <c r="G28" i="6"/>
  <c r="G48" i="6"/>
  <c r="G94" i="6"/>
  <c r="G30" i="6"/>
  <c r="G46" i="6"/>
  <c r="G73" i="6"/>
  <c r="G92" i="6"/>
  <c r="G33" i="6"/>
  <c r="G49" i="6"/>
  <c r="G76" i="6"/>
  <c r="G51" i="6"/>
  <c r="G63" i="6"/>
  <c r="G100" i="6"/>
  <c r="G34" i="6"/>
  <c r="G50" i="6"/>
  <c r="G77" i="6"/>
  <c r="G93" i="6"/>
  <c r="G47" i="6"/>
  <c r="G71" i="6"/>
  <c r="G37" i="6"/>
  <c r="G54" i="6"/>
  <c r="G81" i="6"/>
  <c r="G87" i="6"/>
  <c r="G43" i="6"/>
  <c r="G32" i="6"/>
  <c r="G267" i="6"/>
  <c r="G499" i="6"/>
  <c r="G262" i="6"/>
  <c r="G300" i="6"/>
  <c r="G231" i="6"/>
  <c r="G481" i="6"/>
  <c r="G248" i="6"/>
  <c r="G234" i="6"/>
  <c r="G341" i="6"/>
  <c r="G282" i="6"/>
  <c r="G303" i="6"/>
  <c r="G342" i="6"/>
  <c r="G353" i="6"/>
  <c r="G247" i="6"/>
  <c r="G274" i="6"/>
  <c r="G261" i="6"/>
  <c r="G336" i="6"/>
  <c r="G283" i="6"/>
  <c r="G483" i="6"/>
  <c r="G297" i="6"/>
  <c r="G293" i="6"/>
  <c r="G269" i="6"/>
  <c r="G340" i="6"/>
  <c r="G296" i="6"/>
  <c r="G361" i="6"/>
  <c r="G484" i="6"/>
  <c r="G289" i="6"/>
  <c r="G286" i="6"/>
  <c r="G239" i="6"/>
  <c r="G304" i="6"/>
  <c r="G478" i="6"/>
  <c r="G254" i="6"/>
  <c r="G290" i="6"/>
  <c r="G244" i="6"/>
  <c r="G318" i="6"/>
  <c r="G479" i="6"/>
  <c r="G232" i="6"/>
  <c r="G226" i="6"/>
  <c r="G331" i="6"/>
  <c r="G332" i="6"/>
  <c r="G350" i="6"/>
  <c r="G487" i="6"/>
  <c r="G320" i="6"/>
  <c r="G311" i="6"/>
  <c r="D371" i="6"/>
  <c r="G352" i="6"/>
  <c r="G357" i="6"/>
  <c r="G301" i="6"/>
  <c r="G272" i="6"/>
  <c r="G245" i="6"/>
  <c r="G268" i="6"/>
  <c r="G360" i="6"/>
  <c r="G265" i="6"/>
  <c r="G317" i="6"/>
  <c r="G235" i="6"/>
  <c r="G279" i="6"/>
  <c r="G337" i="6"/>
  <c r="G364" i="6"/>
  <c r="G339" i="6"/>
  <c r="G298" i="6"/>
  <c r="G271" i="6"/>
  <c r="G240" i="6"/>
  <c r="G242" i="6"/>
  <c r="G335" i="6"/>
  <c r="G488" i="6"/>
  <c r="G330" i="6"/>
  <c r="G292" i="6"/>
  <c r="G264" i="6"/>
  <c r="G227" i="6"/>
  <c r="G343" i="6"/>
  <c r="G250" i="6"/>
  <c r="G233" i="6"/>
  <c r="G315" i="6"/>
  <c r="G288" i="6"/>
  <c r="G253" i="6"/>
  <c r="G354" i="6"/>
  <c r="G285" i="6"/>
  <c r="G344" i="6"/>
  <c r="G309" i="6"/>
  <c r="G314" i="6"/>
  <c r="G280" i="6"/>
  <c r="G249" i="6"/>
  <c r="G277" i="6"/>
  <c r="G362" i="6"/>
  <c r="G251" i="6"/>
  <c r="G266" i="6"/>
  <c r="G255" i="6"/>
  <c r="G299" i="6"/>
  <c r="G225" i="6"/>
  <c r="G270" i="6"/>
  <c r="G313" i="6"/>
  <c r="G356" i="6"/>
  <c r="G310" i="6"/>
  <c r="G276" i="6"/>
  <c r="G246" i="6"/>
  <c r="G363" i="6"/>
  <c r="G402" i="6"/>
  <c r="G238" i="6"/>
  <c r="G273" i="6"/>
  <c r="G308" i="6"/>
  <c r="G351" i="6"/>
  <c r="G252" i="6"/>
  <c r="G287" i="6"/>
  <c r="G329" i="6"/>
  <c r="G365" i="6"/>
  <c r="G229" i="6"/>
  <c r="G480" i="6"/>
  <c r="G338" i="6"/>
  <c r="G306" i="6"/>
  <c r="G284" i="6"/>
  <c r="G263" i="6"/>
  <c r="G237" i="6"/>
  <c r="G260" i="6"/>
  <c r="G243" i="6"/>
  <c r="G278" i="6"/>
  <c r="G312" i="6"/>
  <c r="G355" i="6"/>
  <c r="G256" i="6"/>
  <c r="G291" i="6"/>
  <c r="G333" i="6"/>
  <c r="G493" i="6"/>
  <c r="G334" i="6"/>
  <c r="G305" i="6"/>
  <c r="G281" i="6"/>
  <c r="G258" i="6"/>
  <c r="G236" i="6"/>
  <c r="G302" i="6"/>
  <c r="G19" i="6"/>
  <c r="G486" i="6"/>
  <c r="G492" i="6"/>
  <c r="G497" i="6"/>
  <c r="G482" i="6"/>
  <c r="G494" i="6"/>
  <c r="G491" i="6"/>
  <c r="G474" i="6"/>
  <c r="G496" i="6"/>
  <c r="D510" i="6"/>
  <c r="G485" i="6"/>
  <c r="G490" i="6"/>
  <c r="G10" i="6"/>
  <c r="G7" i="6"/>
  <c r="G9" i="6"/>
  <c r="G6" i="6"/>
  <c r="G18" i="6"/>
  <c r="G495" i="6"/>
  <c r="G476" i="6"/>
  <c r="G473" i="6"/>
  <c r="G477" i="6"/>
  <c r="G489" i="6"/>
  <c r="G498" i="6"/>
  <c r="G8" i="6"/>
  <c r="G17" i="6"/>
  <c r="G412" i="6"/>
  <c r="G385" i="6"/>
  <c r="G389" i="6"/>
  <c r="G428" i="6"/>
  <c r="G390" i="6"/>
  <c r="G387" i="6"/>
  <c r="G392" i="6"/>
  <c r="G400" i="6"/>
  <c r="G413" i="6"/>
  <c r="G384" i="6"/>
  <c r="G388" i="6"/>
  <c r="G393" i="6"/>
  <c r="G401" i="6"/>
  <c r="G409" i="6"/>
  <c r="G417" i="6"/>
  <c r="G426" i="6"/>
  <c r="G403" i="6"/>
  <c r="G386" i="6"/>
  <c r="G427" i="6"/>
  <c r="G411" i="6"/>
  <c r="G418" i="6"/>
  <c r="C122" i="5"/>
  <c r="G224" i="6" l="1"/>
  <c r="M4" i="6" s="1"/>
  <c r="G349" i="6"/>
  <c r="M5" i="6" s="1"/>
  <c r="D512" i="6"/>
  <c r="D530" i="6" s="1"/>
  <c r="G25" i="6"/>
  <c r="M2" i="6" s="1"/>
  <c r="G471" i="6"/>
  <c r="O2" i="6" s="1"/>
  <c r="G5" i="6"/>
  <c r="M1" i="6" s="1"/>
  <c r="G160" i="6"/>
  <c r="M3" i="6" s="1"/>
  <c r="G383" i="6"/>
  <c r="O1" i="6" s="1"/>
  <c r="H120" i="5"/>
  <c r="H142" i="5" s="1"/>
  <c r="H121" i="5"/>
  <c r="H143" i="5" s="1"/>
  <c r="G120" i="5"/>
  <c r="G142" i="5" s="1"/>
  <c r="G121" i="5"/>
  <c r="G143" i="5" s="1"/>
  <c r="F120" i="5"/>
  <c r="F142" i="5" s="1"/>
  <c r="F121" i="5"/>
  <c r="F143" i="5" s="1"/>
  <c r="E120" i="5"/>
  <c r="E142" i="5" s="1"/>
  <c r="E121" i="5"/>
  <c r="E143" i="5" s="1"/>
  <c r="D120" i="5"/>
  <c r="D142" i="5" s="1"/>
  <c r="D121" i="5"/>
  <c r="D143" i="5" s="1"/>
  <c r="O83" i="5" l="1"/>
  <c r="N450" i="2" l="1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E132" i="6" l="1"/>
  <c r="E141" i="6"/>
  <c r="E142" i="6"/>
  <c r="E129" i="6"/>
  <c r="E135" i="6"/>
  <c r="E151" i="6"/>
  <c r="E148" i="6"/>
  <c r="E150" i="6"/>
  <c r="E130" i="6"/>
  <c r="E134" i="6"/>
  <c r="E128" i="6"/>
  <c r="E137" i="6"/>
  <c r="E146" i="6"/>
  <c r="E153" i="6"/>
  <c r="E147" i="6"/>
  <c r="E149" i="6"/>
  <c r="E138" i="6"/>
  <c r="E127" i="6"/>
  <c r="E136" i="6"/>
  <c r="E145" i="6"/>
  <c r="E144" i="6"/>
  <c r="E133" i="6"/>
  <c r="E126" i="6"/>
  <c r="E131" i="6"/>
  <c r="E143" i="6"/>
  <c r="E152" i="6"/>
  <c r="E139" i="6"/>
  <c r="E140" i="6"/>
  <c r="C29" i="5"/>
  <c r="C74" i="5" l="1"/>
  <c r="C70" i="5"/>
  <c r="C27" i="5"/>
  <c r="C112" i="5" s="1"/>
  <c r="C33" i="5"/>
  <c r="C118" i="5" s="1"/>
  <c r="C71" i="5"/>
  <c r="C14" i="5"/>
  <c r="C140" i="5" l="1"/>
  <c r="C134" i="5"/>
  <c r="E14" i="5"/>
  <c r="C20" i="5"/>
  <c r="C36" i="5"/>
  <c r="C121" i="5" s="1"/>
  <c r="C77" i="5"/>
  <c r="C143" i="5" l="1"/>
  <c r="I121" i="5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C30" i="5"/>
  <c r="C115" i="5" s="1"/>
  <c r="F13" i="5" l="1"/>
  <c r="C137" i="5"/>
  <c r="D25" i="5"/>
  <c r="D29" i="5" s="1"/>
  <c r="O66" i="5"/>
  <c r="F14" i="5"/>
  <c r="D30" i="5" l="1"/>
  <c r="D115" i="5" s="1"/>
  <c r="D33" i="5"/>
  <c r="D118" i="5" s="1"/>
  <c r="D27" i="5"/>
  <c r="D112" i="5" s="1"/>
  <c r="D26" i="5"/>
  <c r="E24" i="5"/>
  <c r="E25" i="5" s="1"/>
  <c r="E29" i="5" s="1"/>
  <c r="D134" i="5" l="1"/>
  <c r="D140" i="5"/>
  <c r="E30" i="5"/>
  <c r="E115" i="5" s="1"/>
  <c r="E33" i="5"/>
  <c r="E118" i="5" s="1"/>
  <c r="E26" i="5"/>
  <c r="F24" i="5"/>
  <c r="C35" i="5"/>
  <c r="C120" i="5" s="1"/>
  <c r="C142" i="5" l="1"/>
  <c r="I120" i="5"/>
  <c r="C17" i="5"/>
  <c r="C19" i="5"/>
  <c r="C18" i="5"/>
  <c r="C16" i="5"/>
  <c r="C15" i="5"/>
  <c r="C12" i="5"/>
  <c r="C11" i="5"/>
  <c r="E11" i="5" s="1"/>
  <c r="C76" i="5"/>
  <c r="E17" i="5" l="1"/>
  <c r="F11" i="5"/>
  <c r="G11" i="5" s="1"/>
  <c r="F12" i="5"/>
  <c r="G12" i="5" s="1"/>
  <c r="E12" i="5"/>
  <c r="F15" i="5"/>
  <c r="G15" i="5" s="1"/>
  <c r="E15" i="5"/>
  <c r="F16" i="5"/>
  <c r="G16" i="5" s="1"/>
  <c r="E16" i="5"/>
  <c r="F18" i="5"/>
  <c r="G18" i="5" s="1"/>
  <c r="E18" i="5"/>
  <c r="F17" i="5"/>
  <c r="G17" i="5" s="1"/>
  <c r="C31" i="5"/>
  <c r="C116" i="5" s="1"/>
  <c r="C28" i="5"/>
  <c r="C113" i="5" s="1"/>
  <c r="C114" i="5"/>
  <c r="C34" i="5"/>
  <c r="C119" i="5" s="1"/>
  <c r="C32" i="5"/>
  <c r="C117" i="5" s="1"/>
  <c r="L11" i="5"/>
  <c r="G14" i="5"/>
  <c r="G19" i="5"/>
  <c r="C111" i="5" l="1"/>
  <c r="C139" i="5"/>
  <c r="C141" i="5"/>
  <c r="C136" i="5"/>
  <c r="C135" i="5"/>
  <c r="C138" i="5"/>
  <c r="N66" i="5"/>
  <c r="C75" i="5"/>
  <c r="C73" i="5"/>
  <c r="C69" i="5"/>
  <c r="C72" i="5"/>
  <c r="G20" i="5"/>
  <c r="C68" i="5"/>
  <c r="D66" i="5"/>
  <c r="D70" i="5" s="1"/>
  <c r="H66" i="5"/>
  <c r="L66" i="5"/>
  <c r="K66" i="5"/>
  <c r="E66" i="5"/>
  <c r="I66" i="5"/>
  <c r="M66" i="5"/>
  <c r="G66" i="5"/>
  <c r="F66" i="5"/>
  <c r="J66" i="5"/>
  <c r="P76" i="5"/>
  <c r="Q76" i="5" s="1"/>
  <c r="I35" i="5"/>
  <c r="J35" i="5" s="1"/>
  <c r="I70" i="5" l="1"/>
  <c r="F70" i="5"/>
  <c r="E70" i="5"/>
  <c r="J70" i="5"/>
  <c r="M70" i="5"/>
  <c r="C133" i="5"/>
  <c r="H70" i="5"/>
  <c r="G70" i="5"/>
  <c r="K74" i="5"/>
  <c r="K70" i="5"/>
  <c r="L70" i="5"/>
  <c r="N70" i="5"/>
  <c r="O70" i="5"/>
  <c r="G74" i="5"/>
  <c r="L74" i="5"/>
  <c r="M71" i="5"/>
  <c r="M74" i="5"/>
  <c r="J71" i="5"/>
  <c r="J74" i="5"/>
  <c r="I71" i="5"/>
  <c r="I74" i="5"/>
  <c r="H74" i="5"/>
  <c r="F71" i="5"/>
  <c r="F74" i="5"/>
  <c r="E71" i="5"/>
  <c r="E74" i="5"/>
  <c r="D71" i="5"/>
  <c r="D74" i="5"/>
  <c r="N74" i="5"/>
  <c r="O74" i="5"/>
  <c r="G71" i="5"/>
  <c r="K71" i="5"/>
  <c r="L71" i="5"/>
  <c r="H71" i="5"/>
  <c r="N71" i="5"/>
  <c r="O71" i="5"/>
  <c r="E75" i="5"/>
  <c r="E72" i="5"/>
  <c r="E68" i="5"/>
  <c r="E73" i="5"/>
  <c r="E69" i="5"/>
  <c r="D75" i="5"/>
  <c r="D72" i="5"/>
  <c r="D68" i="5"/>
  <c r="D73" i="5"/>
  <c r="D69" i="5"/>
  <c r="D28" i="5"/>
  <c r="D113" i="5" s="1"/>
  <c r="D34" i="5"/>
  <c r="D119" i="5" s="1"/>
  <c r="D32" i="5"/>
  <c r="D117" i="5" s="1"/>
  <c r="D114" i="5"/>
  <c r="D31" i="5"/>
  <c r="D116" i="5" s="1"/>
  <c r="J75" i="5"/>
  <c r="J69" i="5"/>
  <c r="J73" i="5"/>
  <c r="J68" i="5"/>
  <c r="J72" i="5"/>
  <c r="I72" i="5"/>
  <c r="I68" i="5"/>
  <c r="I75" i="5"/>
  <c r="I69" i="5"/>
  <c r="I73" i="5"/>
  <c r="H75" i="5"/>
  <c r="H69" i="5"/>
  <c r="H73" i="5"/>
  <c r="H72" i="5"/>
  <c r="H68" i="5"/>
  <c r="M72" i="5"/>
  <c r="M68" i="5"/>
  <c r="M75" i="5"/>
  <c r="M69" i="5"/>
  <c r="M73" i="5"/>
  <c r="L75" i="5"/>
  <c r="L69" i="5"/>
  <c r="L73" i="5"/>
  <c r="L68" i="5"/>
  <c r="L72" i="5"/>
  <c r="F69" i="5"/>
  <c r="F73" i="5"/>
  <c r="F75" i="5"/>
  <c r="F68" i="5"/>
  <c r="F72" i="5"/>
  <c r="C78" i="5"/>
  <c r="G68" i="5"/>
  <c r="G75" i="5"/>
  <c r="G69" i="5"/>
  <c r="G73" i="5"/>
  <c r="G72" i="5"/>
  <c r="K68" i="5"/>
  <c r="K73" i="5"/>
  <c r="K72" i="5"/>
  <c r="K75" i="5"/>
  <c r="K69" i="5"/>
  <c r="O68" i="5"/>
  <c r="O75" i="5"/>
  <c r="O69" i="5"/>
  <c r="O73" i="5"/>
  <c r="O72" i="5"/>
  <c r="L12" i="5"/>
  <c r="L13" i="5" s="1"/>
  <c r="C21" i="5"/>
  <c r="S11" i="5" s="1"/>
  <c r="G13" i="5"/>
  <c r="G21" i="5" s="1"/>
  <c r="N69" i="5"/>
  <c r="N73" i="5"/>
  <c r="N75" i="5"/>
  <c r="N68" i="5"/>
  <c r="N72" i="5"/>
  <c r="D111" i="5" l="1"/>
  <c r="D141" i="5"/>
  <c r="D139" i="5"/>
  <c r="D138" i="5"/>
  <c r="C6" i="5"/>
  <c r="P74" i="5"/>
  <c r="Q74" i="5" s="1"/>
  <c r="T20" i="5"/>
  <c r="F25" i="5"/>
  <c r="F29" i="5" s="1"/>
  <c r="D37" i="5"/>
  <c r="E34" i="5"/>
  <c r="E119" i="5" s="1"/>
  <c r="E28" i="5"/>
  <c r="E113" i="5" s="1"/>
  <c r="E135" i="5" s="1"/>
  <c r="E32" i="5"/>
  <c r="E117" i="5" s="1"/>
  <c r="E114" i="5"/>
  <c r="E31" i="5"/>
  <c r="E116" i="5" s="1"/>
  <c r="E27" i="5"/>
  <c r="E112" i="5" s="1"/>
  <c r="J78" i="5"/>
  <c r="P71" i="5"/>
  <c r="Q71" i="5" s="1"/>
  <c r="P72" i="5"/>
  <c r="Q72" i="5" s="1"/>
  <c r="D20" i="5"/>
  <c r="P75" i="5"/>
  <c r="Q75" i="5" s="1"/>
  <c r="P73" i="5"/>
  <c r="Q73" i="5" s="1"/>
  <c r="K78" i="5"/>
  <c r="C3" i="5"/>
  <c r="C4" i="5" s="1"/>
  <c r="D17" i="5"/>
  <c r="T11" i="5"/>
  <c r="T13" i="5"/>
  <c r="T18" i="5"/>
  <c r="D19" i="5"/>
  <c r="D11" i="5"/>
  <c r="T16" i="5"/>
  <c r="D13" i="5"/>
  <c r="D15" i="5"/>
  <c r="D14" i="5"/>
  <c r="S19" i="5"/>
  <c r="T14" i="5"/>
  <c r="D12" i="5"/>
  <c r="T19" i="5"/>
  <c r="D16" i="5"/>
  <c r="D18" i="5"/>
  <c r="T15" i="5"/>
  <c r="T12" i="5"/>
  <c r="O78" i="5"/>
  <c r="F78" i="5"/>
  <c r="L78" i="5"/>
  <c r="H78" i="5"/>
  <c r="N78" i="5"/>
  <c r="D78" i="5"/>
  <c r="P68" i="5"/>
  <c r="Q68" i="5" s="1"/>
  <c r="G78" i="5"/>
  <c r="P69" i="5"/>
  <c r="Q69" i="5" s="1"/>
  <c r="E78" i="5"/>
  <c r="P70" i="5"/>
  <c r="Q70" i="5" s="1"/>
  <c r="P77" i="5"/>
  <c r="Q77" i="5" s="1"/>
  <c r="I36" i="5"/>
  <c r="J36" i="5" s="1"/>
  <c r="C37" i="5"/>
  <c r="M78" i="5"/>
  <c r="I78" i="5"/>
  <c r="S20" i="5"/>
  <c r="E111" i="5" l="1"/>
  <c r="E134" i="5"/>
  <c r="F30" i="5"/>
  <c r="F115" i="5" s="1"/>
  <c r="F33" i="5"/>
  <c r="F118" i="5" s="1"/>
  <c r="S16" i="5"/>
  <c r="S18" i="5"/>
  <c r="S14" i="5"/>
  <c r="S12" i="5"/>
  <c r="S15" i="5"/>
  <c r="S13" i="5"/>
  <c r="G24" i="5"/>
  <c r="F26" i="5"/>
  <c r="F31" i="5"/>
  <c r="F116" i="5" s="1"/>
  <c r="F27" i="5"/>
  <c r="F112" i="5" s="1"/>
  <c r="F28" i="5"/>
  <c r="F113" i="5" s="1"/>
  <c r="F135" i="5" s="1"/>
  <c r="E37" i="5"/>
  <c r="E38" i="5" s="1"/>
  <c r="P78" i="5"/>
  <c r="D38" i="5"/>
  <c r="C38" i="5"/>
  <c r="F21" i="5"/>
  <c r="D21" i="5"/>
  <c r="F134" i="5" l="1"/>
  <c r="E21" i="5"/>
  <c r="C5" i="5" s="1"/>
  <c r="F34" i="5"/>
  <c r="F119" i="5" s="1"/>
  <c r="F32" i="5"/>
  <c r="F117" i="5" s="1"/>
  <c r="G25" i="5"/>
  <c r="G29" i="5" s="1"/>
  <c r="F114" i="5"/>
  <c r="F79" i="5"/>
  <c r="P79" i="5"/>
  <c r="G79" i="5"/>
  <c r="J79" i="5"/>
  <c r="C79" i="5"/>
  <c r="N79" i="5"/>
  <c r="E79" i="5"/>
  <c r="I79" i="5"/>
  <c r="D79" i="5"/>
  <c r="M79" i="5"/>
  <c r="O79" i="5"/>
  <c r="H79" i="5"/>
  <c r="K79" i="5"/>
  <c r="L79" i="5"/>
  <c r="F111" i="5" l="1"/>
  <c r="G30" i="5"/>
  <c r="G115" i="5" s="1"/>
  <c r="G33" i="5"/>
  <c r="G118" i="5" s="1"/>
  <c r="F37" i="5"/>
  <c r="F38" i="5" s="1"/>
  <c r="H24" i="5"/>
  <c r="H25" i="5" s="1"/>
  <c r="H29" i="5" s="1"/>
  <c r="G26" i="5"/>
  <c r="H30" i="5" l="1"/>
  <c r="H33" i="5"/>
  <c r="G31" i="5"/>
  <c r="G116" i="5" s="1"/>
  <c r="G27" i="5"/>
  <c r="G112" i="5" s="1"/>
  <c r="H26" i="5"/>
  <c r="G32" i="5"/>
  <c r="G117" i="5" s="1"/>
  <c r="G28" i="5"/>
  <c r="G113" i="5" s="1"/>
  <c r="G114" i="5"/>
  <c r="G34" i="5"/>
  <c r="G119" i="5" s="1"/>
  <c r="G111" i="5" l="1"/>
  <c r="G134" i="5"/>
  <c r="G135" i="5"/>
  <c r="G141" i="5"/>
  <c r="I33" i="5"/>
  <c r="J33" i="5" s="1"/>
  <c r="H118" i="5"/>
  <c r="I30" i="5"/>
  <c r="H115" i="5"/>
  <c r="G37" i="5"/>
  <c r="G38" i="5" s="1"/>
  <c r="I118" i="5" l="1"/>
  <c r="I115" i="5"/>
  <c r="H34" i="5"/>
  <c r="H31" i="5"/>
  <c r="H32" i="5"/>
  <c r="H27" i="5"/>
  <c r="H112" i="5" s="1"/>
  <c r="H28" i="5"/>
  <c r="J30" i="5"/>
  <c r="H134" i="5" l="1"/>
  <c r="I112" i="5"/>
  <c r="I29" i="5"/>
  <c r="J29" i="5" s="1"/>
  <c r="H114" i="5"/>
  <c r="I32" i="5"/>
  <c r="J32" i="5" s="1"/>
  <c r="H117" i="5"/>
  <c r="I31" i="5"/>
  <c r="J31" i="5" s="1"/>
  <c r="H116" i="5"/>
  <c r="I28" i="5"/>
  <c r="J28" i="5" s="1"/>
  <c r="H113" i="5"/>
  <c r="I34" i="5"/>
  <c r="J34" i="5" s="1"/>
  <c r="H119" i="5"/>
  <c r="I27" i="5"/>
  <c r="J27" i="5" s="1"/>
  <c r="H37" i="5"/>
  <c r="H111" i="5" l="1"/>
  <c r="I111" i="5" s="1"/>
  <c r="J111" i="5" s="1"/>
  <c r="F129" i="5" s="1"/>
  <c r="F140" i="5" s="1"/>
  <c r="H135" i="5"/>
  <c r="I113" i="5"/>
  <c r="I117" i="5"/>
  <c r="H141" i="5"/>
  <c r="I119" i="5"/>
  <c r="I116" i="5"/>
  <c r="I114" i="5"/>
  <c r="H38" i="5"/>
  <c r="I38" i="5" s="1"/>
  <c r="I37" i="5"/>
  <c r="G126" i="5" l="1"/>
  <c r="G137" i="5" s="1"/>
  <c r="H129" i="5"/>
  <c r="H140" i="5" s="1"/>
  <c r="D122" i="5"/>
  <c r="D133" i="5" s="1"/>
  <c r="D125" i="5"/>
  <c r="D136" i="5" s="1"/>
  <c r="F127" i="5"/>
  <c r="F138" i="5" s="1"/>
  <c r="E127" i="5"/>
  <c r="E138" i="5" s="1"/>
  <c r="F130" i="5"/>
  <c r="F141" i="5" s="1"/>
  <c r="F125" i="5"/>
  <c r="F136" i="5" s="1"/>
  <c r="G127" i="5"/>
  <c r="G138" i="5" s="1"/>
  <c r="F128" i="5"/>
  <c r="F139" i="5" s="1"/>
  <c r="E129" i="5"/>
  <c r="E140" i="5" s="1"/>
  <c r="H126" i="5"/>
  <c r="H137" i="5" s="1"/>
  <c r="G122" i="5"/>
  <c r="G133" i="5" s="1"/>
  <c r="H122" i="5"/>
  <c r="H133" i="5" s="1"/>
  <c r="G129" i="5"/>
  <c r="G140" i="5" s="1"/>
  <c r="H125" i="5"/>
  <c r="H136" i="5" s="1"/>
  <c r="D124" i="5"/>
  <c r="D135" i="5" s="1"/>
  <c r="E128" i="5"/>
  <c r="E139" i="5" s="1"/>
  <c r="E125" i="5"/>
  <c r="E136" i="5" s="1"/>
  <c r="E130" i="5"/>
  <c r="E141" i="5" s="1"/>
  <c r="E126" i="5"/>
  <c r="E137" i="5" s="1"/>
  <c r="E122" i="5"/>
  <c r="E133" i="5" s="1"/>
  <c r="H128" i="5"/>
  <c r="H139" i="5" s="1"/>
  <c r="F122" i="5"/>
  <c r="F133" i="5" s="1"/>
  <c r="F126" i="5"/>
  <c r="F137" i="5" s="1"/>
  <c r="G125" i="5"/>
  <c r="G136" i="5" s="1"/>
  <c r="H127" i="5"/>
  <c r="H138" i="5" s="1"/>
  <c r="G128" i="5"/>
  <c r="G139" i="5" s="1"/>
  <c r="D126" i="5"/>
  <c r="D137" i="5" s="1"/>
  <c r="D157" i="6"/>
  <c r="I122" i="5" l="1"/>
  <c r="A4" i="3"/>
  <c r="C31" i="3" l="1"/>
  <c r="F7" i="3"/>
  <c r="D7" i="3"/>
  <c r="C30" i="3"/>
  <c r="C28" i="3"/>
  <c r="C33" i="3"/>
  <c r="C27" i="3"/>
  <c r="H27" i="3" s="1"/>
  <c r="C32" i="3"/>
  <c r="C35" i="3"/>
  <c r="C29" i="3"/>
  <c r="C34" i="3"/>
  <c r="E7" i="3"/>
  <c r="C7" i="3"/>
  <c r="L16" i="3" l="1"/>
  <c r="L15" i="3"/>
  <c r="T15" i="3"/>
  <c r="P15" i="3"/>
  <c r="H16" i="3"/>
  <c r="H15" i="3"/>
  <c r="T16" i="3"/>
  <c r="P16" i="3"/>
  <c r="H8" i="3"/>
  <c r="T8" i="3"/>
  <c r="H30" i="3"/>
  <c r="H10" i="3"/>
  <c r="T17" i="3"/>
  <c r="H11" i="3"/>
  <c r="H31" i="3"/>
  <c r="H33" i="3"/>
  <c r="H28" i="3"/>
  <c r="H32" i="3"/>
  <c r="T7" i="3"/>
  <c r="L18" i="3"/>
  <c r="L12" i="3"/>
  <c r="L8" i="3"/>
  <c r="L13" i="3"/>
  <c r="L17" i="3"/>
  <c r="L11" i="3"/>
  <c r="L7" i="3"/>
  <c r="L10" i="3"/>
  <c r="L14" i="3"/>
  <c r="L9" i="3"/>
  <c r="P17" i="3"/>
  <c r="P11" i="3"/>
  <c r="P7" i="3"/>
  <c r="P14" i="3"/>
  <c r="P10" i="3"/>
  <c r="P13" i="3"/>
  <c r="P9" i="3"/>
  <c r="P18" i="3"/>
  <c r="P12" i="3"/>
  <c r="P8" i="3"/>
  <c r="H17" i="3"/>
  <c r="H14" i="3"/>
  <c r="T11" i="3"/>
  <c r="T14" i="3"/>
  <c r="H7" i="3"/>
  <c r="H9" i="3"/>
  <c r="H18" i="3"/>
  <c r="T12" i="3"/>
  <c r="T18" i="3"/>
  <c r="T10" i="3"/>
  <c r="T9" i="3"/>
  <c r="H34" i="3"/>
  <c r="H29" i="3"/>
  <c r="H35" i="3"/>
  <c r="H13" i="3"/>
  <c r="H12" i="3"/>
  <c r="T13" i="3"/>
  <c r="X15" i="3" l="1"/>
  <c r="X16" i="3"/>
  <c r="X11" i="3"/>
  <c r="X8" i="3"/>
  <c r="X7" i="3"/>
  <c r="X17" i="3"/>
  <c r="L20" i="3"/>
  <c r="X10" i="3"/>
  <c r="X18" i="3"/>
  <c r="X14" i="3"/>
  <c r="X13" i="3"/>
  <c r="H20" i="3"/>
  <c r="H37" i="3"/>
  <c r="H39" i="3"/>
  <c r="P20" i="3"/>
  <c r="X12" i="3"/>
  <c r="X9" i="3"/>
  <c r="T20" i="3"/>
  <c r="X20" i="3" l="1"/>
  <c r="I3" i="3" l="1"/>
  <c r="R20" i="3" l="1"/>
  <c r="V20" i="3"/>
  <c r="J39" i="3"/>
  <c r="J20" i="3"/>
  <c r="N20" i="3"/>
  <c r="J37" i="3"/>
  <c r="L453" i="2"/>
  <c r="L389" i="2"/>
  <c r="L464" i="2"/>
  <c r="L492" i="2"/>
  <c r="L428" i="2"/>
  <c r="L441" i="2"/>
  <c r="L459" i="2"/>
  <c r="L395" i="2"/>
  <c r="L490" i="2"/>
  <c r="L426" i="2"/>
  <c r="L385" i="2"/>
  <c r="L487" i="2"/>
  <c r="L454" i="2"/>
  <c r="L430" i="2"/>
  <c r="L407" i="2"/>
  <c r="L463" i="2"/>
  <c r="L446" i="2"/>
  <c r="L414" i="2"/>
  <c r="L474" i="2"/>
  <c r="L423" i="2"/>
  <c r="L382" i="2"/>
  <c r="L493" i="2"/>
  <c r="L449" i="2"/>
  <c r="L435" i="2"/>
  <c r="L457" i="2"/>
  <c r="L496" i="2"/>
  <c r="L391" i="2"/>
  <c r="L462" i="2"/>
  <c r="L509" i="2"/>
  <c r="L445" i="2"/>
  <c r="L381" i="2"/>
  <c r="L497" i="2"/>
  <c r="L432" i="2"/>
  <c r="L484" i="2"/>
  <c r="L420" i="2"/>
  <c r="L409" i="2"/>
  <c r="L451" i="2"/>
  <c r="L387" i="2"/>
  <c r="L504" i="2"/>
  <c r="L482" i="2"/>
  <c r="L418" i="2"/>
  <c r="L455" i="2"/>
  <c r="L422" i="2"/>
  <c r="L390" i="2"/>
  <c r="L429" i="2"/>
  <c r="L468" i="2"/>
  <c r="L466" i="2"/>
  <c r="L406" i="2"/>
  <c r="L479" i="2"/>
  <c r="L494" i="2"/>
  <c r="L501" i="2"/>
  <c r="L437" i="2"/>
  <c r="L481" i="2"/>
  <c r="L400" i="2"/>
  <c r="L476" i="2"/>
  <c r="L412" i="2"/>
  <c r="L507" i="2"/>
  <c r="L443" i="2"/>
  <c r="L379" i="2"/>
  <c r="L489" i="2"/>
  <c r="L456" i="2"/>
  <c r="L410" i="2"/>
  <c r="L470" i="2"/>
  <c r="L398" i="2"/>
  <c r="L404" i="2"/>
  <c r="L499" i="2"/>
  <c r="L424" i="2"/>
  <c r="L402" i="2"/>
  <c r="L477" i="2"/>
  <c r="L413" i="2"/>
  <c r="L393" i="2"/>
  <c r="L452" i="2"/>
  <c r="L388" i="2"/>
  <c r="L472" i="2"/>
  <c r="L483" i="2"/>
  <c r="L419" i="2"/>
  <c r="L401" i="2"/>
  <c r="L450" i="2"/>
  <c r="L386" i="2"/>
  <c r="L416" i="2"/>
  <c r="L431" i="2"/>
  <c r="L415" i="2"/>
  <c r="L469" i="2"/>
  <c r="L405" i="2"/>
  <c r="L508" i="2"/>
  <c r="L444" i="2"/>
  <c r="L380" i="2"/>
  <c r="L505" i="2"/>
  <c r="L440" i="2"/>
  <c r="L475" i="2"/>
  <c r="L411" i="2"/>
  <c r="L485" i="2"/>
  <c r="L396" i="2"/>
  <c r="L392" i="2"/>
  <c r="L434" i="2"/>
  <c r="L461" i="2"/>
  <c r="L480" i="2"/>
  <c r="L394" i="2"/>
  <c r="L465" i="2"/>
  <c r="L471" i="2"/>
  <c r="L447" i="2"/>
  <c r="L438" i="2"/>
  <c r="L467" i="2"/>
  <c r="L399" i="2"/>
  <c r="L439" i="2"/>
  <c r="L436" i="2"/>
  <c r="L442" i="2"/>
  <c r="L384" i="2"/>
  <c r="L421" i="2"/>
  <c r="L491" i="2"/>
  <c r="L433" i="2"/>
  <c r="L378" i="2"/>
  <c r="L425" i="2"/>
  <c r="L383" i="2"/>
  <c r="L397" i="2"/>
  <c r="L473" i="2"/>
  <c r="L417" i="2"/>
  <c r="L488" i="2"/>
  <c r="L408" i="2"/>
  <c r="L486" i="2"/>
  <c r="L427" i="2"/>
  <c r="L506" i="2"/>
  <c r="L495" i="2"/>
  <c r="L503" i="2"/>
  <c r="L478" i="2"/>
  <c r="L500" i="2"/>
  <c r="L403" i="2"/>
  <c r="L498" i="2"/>
  <c r="L460" i="2"/>
  <c r="L458" i="2"/>
  <c r="L448" i="2"/>
  <c r="L502" i="2"/>
</calcChain>
</file>

<file path=xl/sharedStrings.xml><?xml version="1.0" encoding="utf-8"?>
<sst xmlns="http://schemas.openxmlformats.org/spreadsheetml/2006/main" count="7851" uniqueCount="1077">
  <si>
    <t>FHLB</t>
  </si>
  <si>
    <t>FNMA</t>
  </si>
  <si>
    <t>FHLMC</t>
  </si>
  <si>
    <t xml:space="preserve">CATEGORY  CODE  </t>
  </si>
  <si>
    <t>TYPECODE</t>
  </si>
  <si>
    <t>TYPEDESC</t>
  </si>
  <si>
    <t>FUNDCODE</t>
  </si>
  <si>
    <t>FUNDDESC</t>
  </si>
  <si>
    <t>BANKCODE</t>
  </si>
  <si>
    <t>BANKDESC</t>
  </si>
  <si>
    <t>RECEIPTCODE</t>
  </si>
  <si>
    <t>RECEIPTDESC</t>
  </si>
  <si>
    <t>INVESTNUMBER</t>
  </si>
  <si>
    <t>MATCODE</t>
  </si>
  <si>
    <t xml:space="preserve">BROKER CODE </t>
  </si>
  <si>
    <t>SALEDATE</t>
  </si>
  <si>
    <t>PARVALUE</t>
  </si>
  <si>
    <t>CURRENTBALANCE</t>
  </si>
  <si>
    <t xml:space="preserve">     BASIS</t>
  </si>
  <si>
    <t xml:space="preserve">     CUSIP</t>
  </si>
  <si>
    <t>INTEREST REVENUE</t>
  </si>
  <si>
    <t xml:space="preserve">MARKETVALUE </t>
  </si>
  <si>
    <t>ACCRUEDINTEREST</t>
  </si>
  <si>
    <t>BROKER DESC</t>
  </si>
  <si>
    <t>MATURITY  DATE</t>
  </si>
  <si>
    <t>VLOOK</t>
  </si>
  <si>
    <t>CATEGORY  DESC</t>
  </si>
  <si>
    <t>INTEREST  RATE</t>
  </si>
  <si>
    <t>INTEREST EARNED</t>
  </si>
  <si>
    <t>FFCB</t>
  </si>
  <si>
    <t>FHLB Discount</t>
  </si>
  <si>
    <t>FNMA Discount</t>
  </si>
  <si>
    <t>Balance</t>
  </si>
  <si>
    <t>% of Portfolio</t>
  </si>
  <si>
    <t>Commercial Paper</t>
  </si>
  <si>
    <t>Asset Type</t>
  </si>
  <si>
    <t>0 - 30</t>
  </si>
  <si>
    <t>31 - 60</t>
  </si>
  <si>
    <t>61 - 90</t>
  </si>
  <si>
    <t>&lt;2 Year Maturtity</t>
  </si>
  <si>
    <t>91 - 120</t>
  </si>
  <si>
    <t>121 - 150</t>
  </si>
  <si>
    <t>151 - 180</t>
  </si>
  <si>
    <t>Total CP &amp; % Portfolio</t>
  </si>
  <si>
    <t xml:space="preserve">Total </t>
  </si>
  <si>
    <t>Portfolio Balance</t>
  </si>
  <si>
    <t>FHLMC Discount</t>
  </si>
  <si>
    <t>Maturities in Days</t>
  </si>
  <si>
    <t>181 - 210</t>
  </si>
  <si>
    <t>211 - 240</t>
  </si>
  <si>
    <t>241 - 270</t>
  </si>
  <si>
    <t>Total CP &gt;180 Days</t>
  </si>
  <si>
    <t>(Cannot exceed 5% Portfolio Bal.)</t>
  </si>
  <si>
    <t>US Treasuries</t>
  </si>
  <si>
    <t>Verfictication:  Security Balances within State Statute Limitations</t>
  </si>
  <si>
    <t>As of date ending</t>
  </si>
  <si>
    <t>Treasury Notes</t>
  </si>
  <si>
    <t>Farmer Mac Notes</t>
  </si>
  <si>
    <t>2-3 Year Maturtity</t>
  </si>
  <si>
    <t>3-4 Year Maturtity</t>
  </si>
  <si>
    <t>4-5 Year Maturtity</t>
  </si>
  <si>
    <t>5 years</t>
  </si>
  <si>
    <t>2 years</t>
  </si>
  <si>
    <t>3 years</t>
  </si>
  <si>
    <t>4 years</t>
  </si>
  <si>
    <t>*not greater than 55% of portfolio balance</t>
  </si>
  <si>
    <t>*not greater than 30% of portfolio balance</t>
  </si>
  <si>
    <t>*not greater than 15% of portfolio balance</t>
  </si>
  <si>
    <t>Supranational Securities</t>
  </si>
  <si>
    <t>Farmer Mac Disc Notes</t>
  </si>
  <si>
    <t>DepDate</t>
  </si>
  <si>
    <t>MatDate</t>
  </si>
  <si>
    <t>Repurchase Agreements</t>
  </si>
  <si>
    <t>IL Funds</t>
  </si>
  <si>
    <t>Outstanding</t>
  </si>
  <si>
    <t xml:space="preserve">Matched </t>
  </si>
  <si>
    <t>Liability to Match</t>
  </si>
  <si>
    <t>% of the Treasury</t>
  </si>
  <si>
    <t>Money Market</t>
  </si>
  <si>
    <t>Foreign Bonds</t>
  </si>
  <si>
    <t>Municipal Bonds</t>
  </si>
  <si>
    <t>Agencies</t>
  </si>
  <si>
    <t>Treasuries</t>
  </si>
  <si>
    <t xml:space="preserve">11 Months </t>
  </si>
  <si>
    <t xml:space="preserve">12 Months </t>
  </si>
  <si>
    <t xml:space="preserve">10 Months </t>
  </si>
  <si>
    <t xml:space="preserve">9 Months </t>
  </si>
  <si>
    <t xml:space="preserve">8 Months </t>
  </si>
  <si>
    <t xml:space="preserve">7 Months </t>
  </si>
  <si>
    <t>6 Months</t>
  </si>
  <si>
    <t>5 Months</t>
  </si>
  <si>
    <t>4 Months</t>
  </si>
  <si>
    <t>3 Months</t>
  </si>
  <si>
    <t>2 Month</t>
  </si>
  <si>
    <t>1 Month</t>
  </si>
  <si>
    <t>Overnight</t>
  </si>
  <si>
    <t>Short Term Liquidity</t>
  </si>
  <si>
    <t>Total</t>
  </si>
  <si>
    <t>4-5 Years</t>
  </si>
  <si>
    <t>3-4 Years</t>
  </si>
  <si>
    <t>2-3 Years</t>
  </si>
  <si>
    <t>1-2 Years</t>
  </si>
  <si>
    <t>2-365 Days</t>
  </si>
  <si>
    <t>Days to Maturity</t>
  </si>
  <si>
    <t>*excluding security lending program</t>
  </si>
  <si>
    <t>Corporate Bonds</t>
  </si>
  <si>
    <t>Annual Income</t>
  </si>
  <si>
    <t>Spread (SP Share)</t>
  </si>
  <si>
    <t>% on Loan**</t>
  </si>
  <si>
    <t>Sec Lending Income</t>
  </si>
  <si>
    <t>Annual Income*</t>
  </si>
  <si>
    <t xml:space="preserve">Weighted Average Yield* </t>
  </si>
  <si>
    <t>Weighted Average Maturity (days)</t>
  </si>
  <si>
    <t>Position (%)</t>
  </si>
  <si>
    <t>Position ($)</t>
  </si>
  <si>
    <t>Asset Breakdown</t>
  </si>
  <si>
    <t>WAY</t>
  </si>
  <si>
    <t>Net Portfolio</t>
  </si>
  <si>
    <t>Rationale/Drivers</t>
  </si>
  <si>
    <t>62,70</t>
  </si>
  <si>
    <t>30,31</t>
  </si>
  <si>
    <t>50,52,54,55,57</t>
  </si>
  <si>
    <t>PURCHASE  DATE</t>
  </si>
  <si>
    <t>Weighted Avg Yield</t>
  </si>
  <si>
    <t>89,87,69,66,67,84,85,86</t>
  </si>
  <si>
    <t>51, 78, 80</t>
  </si>
  <si>
    <t>WAM</t>
  </si>
  <si>
    <t>89,87,69,66,67,84,85,86,91,92</t>
  </si>
  <si>
    <t>Add day due to Holiday</t>
  </si>
  <si>
    <t>Weighted Average Int Rate</t>
  </si>
  <si>
    <t>Coporate Bonds</t>
  </si>
  <si>
    <t>**Cannot delete column Z; must unprotect to make any changes</t>
  </si>
  <si>
    <t>**Cannot delete columns L,M, &amp; N; must unprotect to make any changes</t>
  </si>
  <si>
    <t>B</t>
  </si>
  <si>
    <t xml:space="preserve">Carrollton Bank                    </t>
  </si>
  <si>
    <t xml:space="preserve">P.O. Box 232                  </t>
  </si>
  <si>
    <t xml:space="preserve">Carrollton       </t>
  </si>
  <si>
    <t>Illinois</t>
  </si>
  <si>
    <t xml:space="preserve">S </t>
  </si>
  <si>
    <t xml:space="preserve">Greene      </t>
  </si>
  <si>
    <t xml:space="preserve">Specific Opportunity         </t>
  </si>
  <si>
    <t xml:space="preserve">Regular Account              </t>
  </si>
  <si>
    <t xml:space="preserve">AG Program - 5 YR            </t>
  </si>
  <si>
    <t xml:space="preserve">Citizens State Bank                </t>
  </si>
  <si>
    <t xml:space="preserve">102 W. Main Street            </t>
  </si>
  <si>
    <t xml:space="preserve">Lena             </t>
  </si>
  <si>
    <t xml:space="preserve">Stephenson  </t>
  </si>
  <si>
    <t xml:space="preserve">Holcomb State Bank                 </t>
  </si>
  <si>
    <t xml:space="preserve">108 W Main St P.O. Box 105    </t>
  </si>
  <si>
    <t xml:space="preserve">Holcomb          </t>
  </si>
  <si>
    <t xml:space="preserve">Ogle        </t>
  </si>
  <si>
    <t xml:space="preserve">City National Bank of Metropolis   </t>
  </si>
  <si>
    <t xml:space="preserve">P.O. Box 380                  </t>
  </si>
  <si>
    <t xml:space="preserve">Metropolis       </t>
  </si>
  <si>
    <t xml:space="preserve">Massac      </t>
  </si>
  <si>
    <t xml:space="preserve">Disaster Recovery 2013       </t>
  </si>
  <si>
    <t xml:space="preserve">Blackhawk Bank &amp; Trust             </t>
  </si>
  <si>
    <t xml:space="preserve">1308 SE 4th Street            </t>
  </si>
  <si>
    <t xml:space="preserve">Aledo            </t>
  </si>
  <si>
    <t xml:space="preserve">Rock Island </t>
  </si>
  <si>
    <t xml:space="preserve">Banterra Bank                      </t>
  </si>
  <si>
    <t xml:space="preserve">P.O. Box 291                  </t>
  </si>
  <si>
    <t xml:space="preserve">Eldorado         </t>
  </si>
  <si>
    <t xml:space="preserve">Williamson  </t>
  </si>
  <si>
    <t xml:space="preserve">Agricultural Program - 1 YR  </t>
  </si>
  <si>
    <t xml:space="preserve">Milledgeville State Bank           </t>
  </si>
  <si>
    <t xml:space="preserve">451 N. Main St.  P.O. Box 789 </t>
  </si>
  <si>
    <t xml:space="preserve">Milledgeville    </t>
  </si>
  <si>
    <t xml:space="preserve">Carroll     </t>
  </si>
  <si>
    <t xml:space="preserve">Litchfield National Bank           </t>
  </si>
  <si>
    <t xml:space="preserve">316 N. State St.              </t>
  </si>
  <si>
    <t xml:space="preserve">Litchfield       </t>
  </si>
  <si>
    <t xml:space="preserve">Montgomery  </t>
  </si>
  <si>
    <t xml:space="preserve">State Bank of Davis                </t>
  </si>
  <si>
    <t xml:space="preserve">100 Route 75                  </t>
  </si>
  <si>
    <t xml:space="preserve">Davis            </t>
  </si>
  <si>
    <t xml:space="preserve">Bradford National Bank             </t>
  </si>
  <si>
    <t xml:space="preserve">P. O Box 279                  </t>
  </si>
  <si>
    <t xml:space="preserve">Greenville       </t>
  </si>
  <si>
    <t xml:space="preserve">Bond        </t>
  </si>
  <si>
    <t>Alternative AG Program - 1 YR</t>
  </si>
  <si>
    <t xml:space="preserve">Peoples National Bank NA           </t>
  </si>
  <si>
    <t xml:space="preserve">P O Box 908                   </t>
  </si>
  <si>
    <t xml:space="preserve">Mt. Vernon       </t>
  </si>
  <si>
    <t xml:space="preserve">Hamilton    </t>
  </si>
  <si>
    <t xml:space="preserve">CNB Bank and Trust NA              </t>
  </si>
  <si>
    <t xml:space="preserve">P.O. Box 350                  </t>
  </si>
  <si>
    <t xml:space="preserve">Carlinville      </t>
  </si>
  <si>
    <t xml:space="preserve">Macoupin    </t>
  </si>
  <si>
    <t xml:space="preserve">Lena State Bank                    </t>
  </si>
  <si>
    <t xml:space="preserve">915 S. Logan St.              </t>
  </si>
  <si>
    <t>Old Exchange National Bank of Okawville</t>
  </si>
  <si>
    <t xml:space="preserve">P.O. Box 6                    </t>
  </si>
  <si>
    <t xml:space="preserve">Okawville        </t>
  </si>
  <si>
    <t xml:space="preserve">Washington  </t>
  </si>
  <si>
    <t xml:space="preserve">German American State Bank         </t>
  </si>
  <si>
    <t xml:space="preserve">100 Church Street  P.O.  Box 89 </t>
  </si>
  <si>
    <t xml:space="preserve">German Valley    </t>
  </si>
  <si>
    <t>S</t>
  </si>
  <si>
    <t xml:space="preserve">First Savanna Savings Bank         </t>
  </si>
  <si>
    <t xml:space="preserve">301 Main Street               </t>
  </si>
  <si>
    <t xml:space="preserve">Savanna          </t>
  </si>
  <si>
    <t xml:space="preserve">Interim                      </t>
  </si>
  <si>
    <t xml:space="preserve">Access to Capital            </t>
  </si>
  <si>
    <t xml:space="preserve">Warren Boynton State Bank          </t>
  </si>
  <si>
    <t xml:space="preserve">702 W. Illinois Street        </t>
  </si>
  <si>
    <t xml:space="preserve">New Berlin       </t>
  </si>
  <si>
    <t xml:space="preserve">Sangamon    </t>
  </si>
  <si>
    <t xml:space="preserve">Wabash Savings Bank                </t>
  </si>
  <si>
    <t xml:space="preserve">400 Chestnut Street, P.O. Box 370 </t>
  </si>
  <si>
    <t xml:space="preserve">Mt. Carmel       </t>
  </si>
  <si>
    <t xml:space="preserve">Wabash      </t>
  </si>
  <si>
    <t>Toll Highway Authority Gen Acct</t>
  </si>
  <si>
    <t xml:space="preserve">Access to Capital - Tollway  </t>
  </si>
  <si>
    <t xml:space="preserve">Nehemiah Expansion           </t>
  </si>
  <si>
    <t>South Side Trust &amp; Savings Bank-Peoria</t>
  </si>
  <si>
    <t xml:space="preserve">2119 SW Adams                 </t>
  </si>
  <si>
    <t xml:space="preserve">Peoria           </t>
  </si>
  <si>
    <t xml:space="preserve">Peoria      </t>
  </si>
  <si>
    <t xml:space="preserve">Protest                      </t>
  </si>
  <si>
    <t xml:space="preserve">G.O. Debt Service            </t>
  </si>
  <si>
    <t xml:space="preserve">G O Debt                     </t>
  </si>
  <si>
    <t xml:space="preserve">Joy State Bank                     </t>
  </si>
  <si>
    <t xml:space="preserve">P.O. Box 217                  </t>
  </si>
  <si>
    <t xml:space="preserve">Joy              </t>
  </si>
  <si>
    <t xml:space="preserve">Mercer      </t>
  </si>
  <si>
    <t xml:space="preserve">Current  Scenario </t>
  </si>
  <si>
    <t>Current Scenario Page 2</t>
  </si>
  <si>
    <t>Annualized Income</t>
  </si>
  <si>
    <t>**previous month average</t>
  </si>
  <si>
    <r>
      <t>WAM (</t>
    </r>
    <r>
      <rPr>
        <i/>
        <sz val="11"/>
        <color theme="1"/>
        <rFont val="Calibri"/>
        <family val="2"/>
      </rPr>
      <t>in days</t>
    </r>
    <r>
      <rPr>
        <sz val="11"/>
        <rFont val="Calibri"/>
        <family val="2"/>
      </rPr>
      <t>)</t>
    </r>
  </si>
  <si>
    <t xml:space="preserve">Total Benchmark Portfolio </t>
  </si>
  <si>
    <t xml:space="preserve">Total Current Portfolio </t>
  </si>
  <si>
    <t xml:space="preserve">Difference </t>
  </si>
  <si>
    <t>DIFFERENCE OF:</t>
  </si>
  <si>
    <t>Grand Total</t>
  </si>
  <si>
    <t>TIME DEPOSIT</t>
  </si>
  <si>
    <t>IPTIP ADMIN EXPENSE</t>
  </si>
  <si>
    <t>SEC LENDING</t>
  </si>
  <si>
    <t>US T-Notes</t>
  </si>
  <si>
    <t>US T-BILLS</t>
  </si>
  <si>
    <t>FHLB DISC NT</t>
  </si>
  <si>
    <t>FM DISC NT</t>
  </si>
  <si>
    <t>Securities Lending</t>
  </si>
  <si>
    <t>Manual</t>
  </si>
  <si>
    <t>INV 500 Balance</t>
  </si>
  <si>
    <t>GRAND TOTAL</t>
  </si>
  <si>
    <t>TOLL HIGHWAY MMF'S</t>
  </si>
  <si>
    <t>INB</t>
  </si>
  <si>
    <t>Northrn</t>
  </si>
  <si>
    <t>Westrn</t>
  </si>
  <si>
    <t>AIM</t>
  </si>
  <si>
    <t>MS</t>
  </si>
  <si>
    <t>ILLINOIS FUND AMINISTRATIVE TRUST</t>
  </si>
  <si>
    <t>IPTIP</t>
  </si>
  <si>
    <t>IL FUNDS MMF</t>
  </si>
  <si>
    <t>MMF</t>
  </si>
  <si>
    <t>POSITION-SIZE</t>
  </si>
  <si>
    <t>DESCRIPTION</t>
  </si>
  <si>
    <t>MONEY MARKET FUNDS</t>
  </si>
  <si>
    <t>TOTAL TECHNOLOGY DEVELOPMENT II</t>
  </si>
  <si>
    <t>ILLINOIS TECHNOLOGY DEVELOPMENT II</t>
  </si>
  <si>
    <t>x</t>
  </si>
  <si>
    <t>TOTAL TECHNOLOGY DEVELOPMENT I</t>
  </si>
  <si>
    <t>ILLINOIS TECHNOLOGY DEVELOPMENT I</t>
  </si>
  <si>
    <t>TOTAL FOREIGN BONDS</t>
  </si>
  <si>
    <t>YIELD</t>
  </si>
  <si>
    <t>MATURITY</t>
  </si>
  <si>
    <t>FOREIGN BONDS</t>
  </si>
  <si>
    <t>TOTAL CORPORATE BONDS</t>
  </si>
  <si>
    <t>CORPORATE BONDS</t>
  </si>
  <si>
    <t>TOTAL MUNICIPAL BONDS</t>
  </si>
  <si>
    <t>MUNICIPAL BONDS</t>
  </si>
  <si>
    <t>TOTAL SUPRANATIONALS</t>
  </si>
  <si>
    <t>Other</t>
  </si>
  <si>
    <t>Other (Supra/Municipal/Corporate/Foreign)</t>
  </si>
  <si>
    <t>SUPRANATIONAL SECURITIES</t>
  </si>
  <si>
    <t>GRAND TOTAL AGENCIES</t>
  </si>
  <si>
    <t>TOTAL TOLL HIGHWAY AGENCIES</t>
  </si>
  <si>
    <t>TollWay Agencies</t>
  </si>
  <si>
    <t>TOLL HIGHWAY AGENCIES</t>
  </si>
  <si>
    <t>TOTAL AGENCIES</t>
  </si>
  <si>
    <t>US Agencies</t>
  </si>
  <si>
    <t>US AGENCIES</t>
  </si>
  <si>
    <t>TOTAL TREASURIES</t>
  </si>
  <si>
    <t>TOTAL TOLL HIGHWAY TREASURIES</t>
  </si>
  <si>
    <t>TOLL HIGHWAY TREASURIES</t>
  </si>
  <si>
    <t>US TREASURIES</t>
  </si>
  <si>
    <t>TOTAL CERTIFICATES OF DEPOSIT</t>
  </si>
  <si>
    <t>CERTIFICATES OF DEPOSIT</t>
  </si>
  <si>
    <t>WEIGHTED AVERAGE</t>
  </si>
  <si>
    <t>MONTHLY TOTAL</t>
  </si>
  <si>
    <t>CERTIFICATES OF DEPOSIT - (Linked Deposit &amp; ATC Programs)</t>
  </si>
  <si>
    <t>TOTAL COMMERCIAL PAPER</t>
  </si>
  <si>
    <t>COMMERCIAL PAPER</t>
  </si>
  <si>
    <t>TOTAL TOLL HIGHWAY REPURCHASE AGREEMENTS</t>
  </si>
  <si>
    <t>TOLL HIGHWAY REPURCHASE AGREEMENTS</t>
  </si>
  <si>
    <t>TOTAL STATE REPURCHASE AGREEMENTS</t>
  </si>
  <si>
    <t>TollHighway Agencies</t>
  </si>
  <si>
    <t>Investment #</t>
  </si>
  <si>
    <t>REPURCHASE AGREEMENTS</t>
  </si>
  <si>
    <t>STATE OF ILLINOIS PORTFOLIO - Unaudited</t>
  </si>
  <si>
    <t>This analysis does not include money not in the State Treasury (Clearing) or money that is segregated from the State's General Account (Tollway/Technology/Trust Funds, etc.).  Currently we have 81.4% of the portfolio maturing in a year or less and ladders out the rest between years 1-5.  The WAM is 248.5 days and the WAY is 106 bps.</t>
  </si>
  <si>
    <t xml:space="preserve">INTEREST BEARING    </t>
  </si>
  <si>
    <t xml:space="preserve">REPURCHASE AGREEMENT          </t>
  </si>
  <si>
    <t xml:space="preserve">REGULAR  17412700             </t>
  </si>
  <si>
    <t xml:space="preserve">WELLS FARGO BANK N.A.         </t>
  </si>
  <si>
    <t>370-852-060-001</t>
  </si>
  <si>
    <t xml:space="preserve">REPURCHASE AGREEMENTS-REG                                   </t>
  </si>
  <si>
    <t xml:space="preserve">CLEARING REGULAR              </t>
  </si>
  <si>
    <t xml:space="preserve">WF 17412708                   </t>
  </si>
  <si>
    <t>370-852-160-001</t>
  </si>
  <si>
    <t xml:space="preserve">REPURCHASE/INTEREST-CLEARING                                </t>
  </si>
  <si>
    <t xml:space="preserve">WELLS FARGO EFT               </t>
  </si>
  <si>
    <t>370-852-265-001</t>
  </si>
  <si>
    <t xml:space="preserve">WELLS FARGO EFT CLG-REP SWP IN                              </t>
  </si>
  <si>
    <t xml:space="preserve">CLEARING CHILD SUPPORT EFT    </t>
  </si>
  <si>
    <t xml:space="preserve">W F 17412709                  </t>
  </si>
  <si>
    <t>370-852-157-001</t>
  </si>
  <si>
    <t xml:space="preserve">CHILD SUPPORT CLEARING                                      </t>
  </si>
  <si>
    <t xml:space="preserve">CHILD SUPPORT ENFORCE TR #957 </t>
  </si>
  <si>
    <t xml:space="preserve">WELLS FARGO CHILD SUPPORT 957 </t>
  </si>
  <si>
    <t>370-852-956-001</t>
  </si>
  <si>
    <t xml:space="preserve">PA CHILD SUPRT ENFORC REPURCH                               </t>
  </si>
  <si>
    <t xml:space="preserve">FED RES SETTLEMENT            </t>
  </si>
  <si>
    <t xml:space="preserve">WELLS FARGO BANK N A          </t>
  </si>
  <si>
    <t xml:space="preserve">THA GENERAL  17412701         </t>
  </si>
  <si>
    <t xml:space="preserve">WELLS FARGO BANK,N.A.         </t>
  </si>
  <si>
    <t>370-852-070-455</t>
  </si>
  <si>
    <t xml:space="preserve">TOLL HWY GENL REPO INTEREST                                 </t>
  </si>
  <si>
    <t xml:space="preserve">THA REVENUE   17412707        </t>
  </si>
  <si>
    <t xml:space="preserve">WELLS FARGO N.A.              </t>
  </si>
  <si>
    <t>370-852-010-455</t>
  </si>
  <si>
    <t xml:space="preserve">TOLL HWY REVENUE REPO INTEREST                              </t>
  </si>
  <si>
    <t xml:space="preserve">DEFERRED LOTTERY              </t>
  </si>
  <si>
    <t xml:space="preserve">WF 17412710                   </t>
  </si>
  <si>
    <t>370-852-000-978</t>
  </si>
  <si>
    <t xml:space="preserve">INVESTMENT INCOME                                           </t>
  </si>
  <si>
    <t xml:space="preserve">COUPON BEARING      </t>
  </si>
  <si>
    <t xml:space="preserve">INTL BK DEV &amp; RECO            </t>
  </si>
  <si>
    <t xml:space="preserve">WELLS FARGO REGULAR 17412700  </t>
  </si>
  <si>
    <t xml:space="preserve">WELLS FARGO NA                </t>
  </si>
  <si>
    <t>370-852-147-001</t>
  </si>
  <si>
    <t xml:space="preserve">VARIABLE RATE       </t>
  </si>
  <si>
    <t xml:space="preserve">I.P.T.I.P.                    </t>
  </si>
  <si>
    <t xml:space="preserve">REGULAR - IPTIP               </t>
  </si>
  <si>
    <t xml:space="preserve">US BANK                       </t>
  </si>
  <si>
    <t>370-852-150-001</t>
  </si>
  <si>
    <t xml:space="preserve">PUBLIC INVESTMENT POOL-REG                                  </t>
  </si>
  <si>
    <t xml:space="preserve">THWY-EPAY-IPTIP               </t>
  </si>
  <si>
    <t xml:space="preserve">U S BANK                      </t>
  </si>
  <si>
    <t>370-852-046-455</t>
  </si>
  <si>
    <t xml:space="preserve">IL FUNDS TOLL HGWY E-PAY CLEAR                              </t>
  </si>
  <si>
    <t xml:space="preserve">SOS-EPAY-IPTIP                </t>
  </si>
  <si>
    <t>370-852-440-001</t>
  </si>
  <si>
    <t xml:space="preserve">IL FUNDS - SOS E-PAY                                        </t>
  </si>
  <si>
    <t xml:space="preserve">ERIC OPERATIONS TRUST FD 467  </t>
  </si>
  <si>
    <t>370-852-000-467</t>
  </si>
  <si>
    <t xml:space="preserve">ERIC OPERATIONS TRUST FUND                                  </t>
  </si>
  <si>
    <t xml:space="preserve">COMMODITY TRUST FD-IPTIP      </t>
  </si>
  <si>
    <t>370-852-000-824</t>
  </si>
  <si>
    <t xml:space="preserve">RECEIPT DESCRIPTION NOT ON FILE                             </t>
  </si>
  <si>
    <t xml:space="preserve">MUNI WIRELESS SERVICES FD 125 </t>
  </si>
  <si>
    <t>370-852-000-125</t>
  </si>
  <si>
    <t xml:space="preserve">IMRF #475                     </t>
  </si>
  <si>
    <t>370-852-000-475</t>
  </si>
  <si>
    <t xml:space="preserve">REGULATORY( TRUST FD 291)     </t>
  </si>
  <si>
    <t>370-852-000-291</t>
  </si>
  <si>
    <t xml:space="preserve">KANERVA VS STATE TR FD        </t>
  </si>
  <si>
    <t>370-852-000-234</t>
  </si>
  <si>
    <t xml:space="preserve">AGRICHEM. INCI. RESP.         </t>
  </si>
  <si>
    <t xml:space="preserve">U.S.BANK                      </t>
  </si>
  <si>
    <t>370-852-150-153</t>
  </si>
  <si>
    <t xml:space="preserve">HOMELAND SECURITY FD 710      </t>
  </si>
  <si>
    <t>370-852-000-710</t>
  </si>
  <si>
    <t xml:space="preserve">HORSE RACING - IPTIP          </t>
  </si>
  <si>
    <t>370-852-000-313</t>
  </si>
  <si>
    <t xml:space="preserve">CHILD SUPPORT - IPTIP         </t>
  </si>
  <si>
    <t>370-852-957-001</t>
  </si>
  <si>
    <t xml:space="preserve">CHILD SUPPORT ENFORCE FUND                                  </t>
  </si>
  <si>
    <t>CORN COMMODITY TR #807 - IPTIP</t>
  </si>
  <si>
    <t>370-852-000-807</t>
  </si>
  <si>
    <t xml:space="preserve">IL HABITAT ENDOWMENT FUND     </t>
  </si>
  <si>
    <t>370-852-150-390</t>
  </si>
  <si>
    <t xml:space="preserve">IDOR-EPAY-IPTIP               </t>
  </si>
  <si>
    <t>370-852-176-001</t>
  </si>
  <si>
    <t xml:space="preserve">IDOR E-PAY ACCOUNT                                          </t>
  </si>
  <si>
    <t xml:space="preserve">NATIONAL ENDOWMENT            </t>
  </si>
  <si>
    <t>370-852-150-069</t>
  </si>
  <si>
    <t xml:space="preserve">TOLL HIGHWAY -GENERAL         </t>
  </si>
  <si>
    <t xml:space="preserve">WELLS FARGO                   </t>
  </si>
  <si>
    <t>370-852-040-455</t>
  </si>
  <si>
    <t xml:space="preserve">IL FUNDS MMF ISTHA-GENERAL                                  </t>
  </si>
  <si>
    <t xml:space="preserve">UNEMPLOYMENT COMPENSATION     </t>
  </si>
  <si>
    <t>370-852-151-055</t>
  </si>
  <si>
    <t xml:space="preserve">IPTIP UC SPCIAL ADMIN                                       </t>
  </si>
  <si>
    <t xml:space="preserve">TOLL HIGHWAY -REVENUE         </t>
  </si>
  <si>
    <t>370-852-460-455</t>
  </si>
  <si>
    <t xml:space="preserve">IL FUNDS MMF ISTHA-REVENUE                                  </t>
  </si>
  <si>
    <t xml:space="preserve">ILL RURAL REHAB               </t>
  </si>
  <si>
    <t>370-852-152-595</t>
  </si>
  <si>
    <t xml:space="preserve">IL PREPAID TUITION TRUST FUND </t>
  </si>
  <si>
    <t>370-852-150-557</t>
  </si>
  <si>
    <t xml:space="preserve">TOBACCO SETTLEMENT - IPTIP    </t>
  </si>
  <si>
    <t>370-852-000-733</t>
  </si>
  <si>
    <t xml:space="preserve">CLEARING                      </t>
  </si>
  <si>
    <t>370-852-155-001</t>
  </si>
  <si>
    <t xml:space="preserve">IL FUNDS CLEARING MMF                                       </t>
  </si>
  <si>
    <t xml:space="preserve">IPTIP-COLLEGE SAVINGS POOL    </t>
  </si>
  <si>
    <t>370-852-150-668</t>
  </si>
  <si>
    <t xml:space="preserve">IDFPR E-PAY IPTIP             </t>
  </si>
  <si>
    <t xml:space="preserve">U. S. BANK                    </t>
  </si>
  <si>
    <t>370-852-178-001</t>
  </si>
  <si>
    <t xml:space="preserve">IL FUNDS-IDFPR E-PAY                                        </t>
  </si>
  <si>
    <t xml:space="preserve">BUDGET STABILIZATION - IPTIP  </t>
  </si>
  <si>
    <t>370-852-686-001</t>
  </si>
  <si>
    <t xml:space="preserve">BUDGET STABILIZATION FUND                                   </t>
  </si>
  <si>
    <t xml:space="preserve">CHILD SUPPORT - E-PAY - IPTIP </t>
  </si>
  <si>
    <t xml:space="preserve">U.S. BANK                     </t>
  </si>
  <si>
    <t>370-852-164-001</t>
  </si>
  <si>
    <t xml:space="preserve">IL FUNDS-CHILD SUPPORT E-PAY                                </t>
  </si>
  <si>
    <t xml:space="preserve">TOLL HIGHWAY CLEARING-IPTIP   </t>
  </si>
  <si>
    <t>370-852-470-455</t>
  </si>
  <si>
    <t xml:space="preserve">IL FUNDS MMF ISTHA-CLEARING                                 </t>
  </si>
  <si>
    <t>RADIOACTIVE WASTE FACILITY CLO</t>
  </si>
  <si>
    <t>370-852-150-943</t>
  </si>
  <si>
    <t xml:space="preserve">TOLLHWY IPASS ESCROW - IPTIP  </t>
  </si>
  <si>
    <t>370-852-150-455</t>
  </si>
  <si>
    <t>IL.FUNDS-TITLE III SS &amp; EMPLOY</t>
  </si>
  <si>
    <t>370-852-000-052</t>
  </si>
  <si>
    <t xml:space="preserve">E-PAY-IPTIP                   </t>
  </si>
  <si>
    <t>370-852-446-001</t>
  </si>
  <si>
    <t xml:space="preserve">IL FUNDS MMF - E-PAY ACCOUNT                                </t>
  </si>
  <si>
    <t xml:space="preserve">SEC LENDING - FHLB DISC NT    </t>
  </si>
  <si>
    <t xml:space="preserve">REG-SEC LENDING-FHLB DISC NT  </t>
  </si>
  <si>
    <t xml:space="preserve">DEUTSCHE                      </t>
  </si>
  <si>
    <t>370-852-117-001</t>
  </si>
  <si>
    <t xml:space="preserve">FED HOME LOAN BANK NOTE                                     </t>
  </si>
  <si>
    <t xml:space="preserve">SEC LENDING - FHLMC DISC NT   </t>
  </si>
  <si>
    <t xml:space="preserve">REG-SEC LENDING-FHLMC DISC NT </t>
  </si>
  <si>
    <t xml:space="preserve">DUETSCHE                      </t>
  </si>
  <si>
    <t>370-852-119-001</t>
  </si>
  <si>
    <t xml:space="preserve">FED HOME LOAN MORT CORP DISC                                </t>
  </si>
  <si>
    <t xml:space="preserve">SEC LENDING - FNMA            </t>
  </si>
  <si>
    <t xml:space="preserve">REGULAR - SEC LENDING - FNMA  </t>
  </si>
  <si>
    <t>370-852-125-001</t>
  </si>
  <si>
    <t xml:space="preserve">F.N.M.A. DEBENTURES                                         </t>
  </si>
  <si>
    <t xml:space="preserve">SEC LENDING - FHLMC           </t>
  </si>
  <si>
    <t xml:space="preserve">REGULAR - SEC LENDING - FHLMC </t>
  </si>
  <si>
    <t>370-852-118-001</t>
  </si>
  <si>
    <t xml:space="preserve">FED HOME LOAN MORT CORP NOTE                                </t>
  </si>
  <si>
    <t xml:space="preserve">SEC LENDING - FHLB            </t>
  </si>
  <si>
    <t xml:space="preserve">REGULAR - SEC LENDING - FHLB  </t>
  </si>
  <si>
    <t>370-852-116-001</t>
  </si>
  <si>
    <t xml:space="preserve">SEC LENDING - FFCB            </t>
  </si>
  <si>
    <t xml:space="preserve">REGULAR - SEC LENDING - FFCB  </t>
  </si>
  <si>
    <t>370-852-113-001</t>
  </si>
  <si>
    <t xml:space="preserve">FED FARM CREDIT BANK NOTE                                   </t>
  </si>
  <si>
    <t xml:space="preserve">SEC LENDING - FNMA DISC NT    </t>
  </si>
  <si>
    <t xml:space="preserve">REG-SEC LENDING-FNMA DISC NT  </t>
  </si>
  <si>
    <t>370-852-126-001</t>
  </si>
  <si>
    <t xml:space="preserve">FSMA DISCOUNT NOTE                                          </t>
  </si>
  <si>
    <t xml:space="preserve">MONEY MARKET FUND             </t>
  </si>
  <si>
    <t xml:space="preserve">NORTHERN TR-WILLIAMS CAP      </t>
  </si>
  <si>
    <t>370-852-172-001</t>
  </si>
  <si>
    <t xml:space="preserve">NORTHERN TRUST-WMS CAPITAL SHARES                           </t>
  </si>
  <si>
    <t xml:space="preserve">REG. MNY MKT - MILESTONE      </t>
  </si>
  <si>
    <t xml:space="preserve">NORTHERN TRUST                </t>
  </si>
  <si>
    <t>370-852-158-001</t>
  </si>
  <si>
    <t xml:space="preserve">MILESTONE MONEY MARKET FUND                                 </t>
  </si>
  <si>
    <t xml:space="preserve">REG MMA GOLDMAN / TREAS CURVE </t>
  </si>
  <si>
    <t xml:space="preserve">WELLS FARGO BANK, N.A.        </t>
  </si>
  <si>
    <t>370-852-551-001</t>
  </si>
  <si>
    <t xml:space="preserve">GOLDMAN SACHS MM TREASURY CURV                              </t>
  </si>
  <si>
    <t xml:space="preserve">REG MMA FEDERATED/TREAS CURVE </t>
  </si>
  <si>
    <t>370-852-552-001</t>
  </si>
  <si>
    <t xml:space="preserve">FEDERATED MMF-TREASURY CURVE                                </t>
  </si>
  <si>
    <t>REG. MNY MKT - AMER. FREEDOM F</t>
  </si>
  <si>
    <t xml:space="preserve">NORTHERN                      </t>
  </si>
  <si>
    <t>370-852-134-001</t>
  </si>
  <si>
    <t xml:space="preserve">MMF AMERICAN FREEDOM FUND                                   </t>
  </si>
  <si>
    <t xml:space="preserve">NORTHERN GOVERMENT SELECT     </t>
  </si>
  <si>
    <t>370-852-163-001</t>
  </si>
  <si>
    <t xml:space="preserve">NORTHERN GOVT SELECT MMF                                    </t>
  </si>
  <si>
    <t xml:space="preserve">NORTHERN GOVERMENT MMF        </t>
  </si>
  <si>
    <t>370-852-131-001</t>
  </si>
  <si>
    <t xml:space="preserve">NORTHERN GOVERNMENT MMF                                     </t>
  </si>
  <si>
    <t xml:space="preserve">WELLS FARGO REGULAR           </t>
  </si>
  <si>
    <t xml:space="preserve">WELLS FARGO BANK NA           </t>
  </si>
  <si>
    <t>370-852-200-001</t>
  </si>
  <si>
    <t xml:space="preserve">WELLS FARGO TREASURY FUND                                   </t>
  </si>
  <si>
    <t xml:space="preserve">REG MMF AIM/TREASURY CURVE    </t>
  </si>
  <si>
    <t>370-852-555-001</t>
  </si>
  <si>
    <t xml:space="preserve">AIM/TREASURY CURVE MMF                                      </t>
  </si>
  <si>
    <t>WILLIAMS CAP MGT/TREASRY CURVE</t>
  </si>
  <si>
    <t>370-852-557-001</t>
  </si>
  <si>
    <t xml:space="preserve">WILLIAMS CAPITAL/MMF                                        </t>
  </si>
  <si>
    <t xml:space="preserve">WESTERN ASST GOVT/TREAS CURVE </t>
  </si>
  <si>
    <t>370-852-143-001</t>
  </si>
  <si>
    <t xml:space="preserve">WESTERN ASSET/TREASURY CURVE M                              </t>
  </si>
  <si>
    <t xml:space="preserve">AIM CLEARING/TREASURY CURVE   </t>
  </si>
  <si>
    <t xml:space="preserve">WELLS FARGO CLG CONCENTRATION </t>
  </si>
  <si>
    <t>370-852-447-001</t>
  </si>
  <si>
    <t xml:space="preserve">AIM TREASURY CURVE CLEARING MMF                             </t>
  </si>
  <si>
    <t xml:space="preserve">MORGAN STANLEY/TREAS CURVE    </t>
  </si>
  <si>
    <t>370-852-141-001</t>
  </si>
  <si>
    <t xml:space="preserve">MORGAN STANLEY INSTIT LIQUID                                </t>
  </si>
  <si>
    <t xml:space="preserve">MONEY MRKT MUTUAL FD-CLG      </t>
  </si>
  <si>
    <t xml:space="preserve">JPMORGAN-ONE GROUP #3919 MMF  </t>
  </si>
  <si>
    <t xml:space="preserve">JPMORGAN-CHICAGO              </t>
  </si>
  <si>
    <t>370-852-138-001</t>
  </si>
  <si>
    <t xml:space="preserve">1ST CHICAGO 1 MMF                                           </t>
  </si>
  <si>
    <t xml:space="preserve">JPMORGAN-SPRINGFIELD          </t>
  </si>
  <si>
    <t>370-852-139-001</t>
  </si>
  <si>
    <t xml:space="preserve">BANK ONE SPFLD 1 GROUP MMF                                  </t>
  </si>
  <si>
    <t xml:space="preserve">NATIONAL CITY CREDIT CARD MMF </t>
  </si>
  <si>
    <t xml:space="preserve">NATIONAL CITY                 </t>
  </si>
  <si>
    <t>370-852-161-001</t>
  </si>
  <si>
    <t xml:space="preserve">NAT'L CITY CREDIT CARD MMF                                  </t>
  </si>
  <si>
    <t xml:space="preserve">I.N.B. CLEARING LOCKBOX       </t>
  </si>
  <si>
    <t xml:space="preserve">ILLINOIS NATIONAL BANK        </t>
  </si>
  <si>
    <t>370-852-154-001</t>
  </si>
  <si>
    <t xml:space="preserve">INB CLEARING MONEY MARKET                                   </t>
  </si>
  <si>
    <t xml:space="preserve">INB CLEARING IDOR LOCKBOX     </t>
  </si>
  <si>
    <t>370-852-152-001</t>
  </si>
  <si>
    <t xml:space="preserve">INB IDOR LOCKBOX MMF SWEEP INCOME                           </t>
  </si>
  <si>
    <t xml:space="preserve">INB CLEARING DHS LOCKBOX      </t>
  </si>
  <si>
    <t>370-852-168-001</t>
  </si>
  <si>
    <t xml:space="preserve">INB DHS LOCKBOX                                             </t>
  </si>
  <si>
    <t xml:space="preserve">INB CLEARING ISTHA E-PAY      </t>
  </si>
  <si>
    <t>000-000-000-000</t>
  </si>
  <si>
    <t xml:space="preserve">INB CLEARING IDOR E-PAY       </t>
  </si>
  <si>
    <t xml:space="preserve">INB CLEARING SOS E-PAY        </t>
  </si>
  <si>
    <t xml:space="preserve">INB CLEARING TREAS E-PAY      </t>
  </si>
  <si>
    <t xml:space="preserve">INB CLEARING IDFPR E-PAY      </t>
  </si>
  <si>
    <t xml:space="preserve">                    </t>
  </si>
  <si>
    <t xml:space="preserve">PFIC MONEY MARKET TOLLHIGHWAY </t>
  </si>
  <si>
    <t xml:space="preserve">CLEARING THA                  </t>
  </si>
  <si>
    <t xml:space="preserve">BANK OF AMERICA               </t>
  </si>
  <si>
    <t>370-852-085-455</t>
  </si>
  <si>
    <t xml:space="preserve">T/H I-PASS CLEARING PFIC INT                                </t>
  </si>
  <si>
    <t xml:space="preserve">THA GENERAL                   </t>
  </si>
  <si>
    <t>370-852-075-455</t>
  </si>
  <si>
    <t xml:space="preserve">TOLL HWY GENL PFIC INTEREST                                 </t>
  </si>
  <si>
    <t xml:space="preserve">THA REVENUE                   </t>
  </si>
  <si>
    <t>370-852-095-455</t>
  </si>
  <si>
    <t xml:space="preserve">TOLL HWY REV PFIC INTEREST                                  </t>
  </si>
  <si>
    <t xml:space="preserve">THA I-PASS ESCROW             </t>
  </si>
  <si>
    <t>370-852-055-455</t>
  </si>
  <si>
    <t xml:space="preserve">T/H I-PASS ESCROW PFIC INT                                  </t>
  </si>
  <si>
    <t xml:space="preserve">US BANK NOW ACCOUNT           </t>
  </si>
  <si>
    <t xml:space="preserve">REGULAR NOW ACCOUNT           </t>
  </si>
  <si>
    <t>370-852-230-001</t>
  </si>
  <si>
    <t xml:space="preserve">US BANK NOW ACCOUNT                                         </t>
  </si>
  <si>
    <t xml:space="preserve">ASSOCIATED BK NOW ACCOUNT     </t>
  </si>
  <si>
    <t xml:space="preserve">ASSOCIATED BANK               </t>
  </si>
  <si>
    <t>370-852-231-001</t>
  </si>
  <si>
    <t xml:space="preserve">ASSOCIATED BANK NOW ACCOUNT                                 </t>
  </si>
  <si>
    <t xml:space="preserve">SEC LENDING - US T BILLS      </t>
  </si>
  <si>
    <t xml:space="preserve">REG-SEC LENDING-T BILLS       </t>
  </si>
  <si>
    <t>370-852-115-001</t>
  </si>
  <si>
    <t xml:space="preserve">TREASURY INVESTMENT                                         </t>
  </si>
  <si>
    <t xml:space="preserve">CITIBANK NOW ACCOUNT          </t>
  </si>
  <si>
    <t xml:space="preserve">CITIBANK                      </t>
  </si>
  <si>
    <t>370-852-232-001</t>
  </si>
  <si>
    <t xml:space="preserve">CITIBANK NOW ACCOUNT                                        </t>
  </si>
  <si>
    <t xml:space="preserve">SEC LENDING - US T NOTES      </t>
  </si>
  <si>
    <t xml:space="preserve">REG-SEC LENDING-T NOTES       </t>
  </si>
  <si>
    <t>370-852-146-001</t>
  </si>
  <si>
    <t xml:space="preserve">US TREASURY NOTES                                           </t>
  </si>
  <si>
    <t xml:space="preserve">DISCOUNT            </t>
  </si>
  <si>
    <t xml:space="preserve">COMMERCIAL PAPER              </t>
  </si>
  <si>
    <t xml:space="preserve">REGULAR 17412700              </t>
  </si>
  <si>
    <t>370-852-140-001</t>
  </si>
  <si>
    <t xml:space="preserve">COMMERCIAL INSTRUMENTS                                      </t>
  </si>
  <si>
    <t xml:space="preserve">SEC LENDING - FARMER MAC      </t>
  </si>
  <si>
    <t xml:space="preserve">REG-SEC LENDING-FARMERMAC     </t>
  </si>
  <si>
    <t>370-852-127-001</t>
  </si>
  <si>
    <t xml:space="preserve">FARMER MAC ACCOUNT                                          </t>
  </si>
  <si>
    <t xml:space="preserve">TREASURY BILLS                </t>
  </si>
  <si>
    <t xml:space="preserve">TOLL HIGHWAY GENERAL          </t>
  </si>
  <si>
    <t xml:space="preserve">WELLS FARGO TH GEN 17412701   </t>
  </si>
  <si>
    <t>370-852-115-455</t>
  </si>
  <si>
    <t xml:space="preserve">FNMA DISCOUNT NOTES           </t>
  </si>
  <si>
    <t xml:space="preserve">THA  GENERAL                  </t>
  </si>
  <si>
    <t>370-852-126-455</t>
  </si>
  <si>
    <t xml:space="preserve">FNMA DISCOUNT NOTES TOLL HIGHWAY GENERAL                    </t>
  </si>
  <si>
    <t xml:space="preserve">FHLMC DISCOUNT NOTES          </t>
  </si>
  <si>
    <t xml:space="preserve">TH GENERAL                    </t>
  </si>
  <si>
    <t>370-852-119-455</t>
  </si>
  <si>
    <t xml:space="preserve">FHLMC DISCOUNT NOTES TOLL HIGHWAY GENERAL                   </t>
  </si>
  <si>
    <t xml:space="preserve">FHLB DISCOUNT NOTES           </t>
  </si>
  <si>
    <t>370-852-117-455</t>
  </si>
  <si>
    <t xml:space="preserve">FHLB DISCOUNT NOTES TOLL HIGHWAY GENERAL                    </t>
  </si>
  <si>
    <t xml:space="preserve">FARMER MAC DISCOUNT NOTES     </t>
  </si>
  <si>
    <t>370-852-166-001</t>
  </si>
  <si>
    <t xml:space="preserve">FARMER MAC DISCOUNT NOTES                                   </t>
  </si>
  <si>
    <t xml:space="preserve">TREASURY NOTE                 </t>
  </si>
  <si>
    <t xml:space="preserve">SEC LENDING-FARMER MAC DN     </t>
  </si>
  <si>
    <t xml:space="preserve">REG SEC LENDING FARMER MAC DN </t>
  </si>
  <si>
    <t xml:space="preserve">MUNICIPAL                     </t>
  </si>
  <si>
    <t xml:space="preserve">VILLAGE OF SKOKIE IL          </t>
  </si>
  <si>
    <t>370-852-169-001</t>
  </si>
  <si>
    <t xml:space="preserve">MUNICIPAL BONDS                                             </t>
  </si>
  <si>
    <t>COOK CNTY HS207 MAINE TOWNSHIP</t>
  </si>
  <si>
    <t xml:space="preserve">CORPORATE BONDS               </t>
  </si>
  <si>
    <t xml:space="preserve">MICROSOFT CORP                </t>
  </si>
  <si>
    <t>370-852-173-001</t>
  </si>
  <si>
    <t xml:space="preserve">CORPORATE BONDS SHORTTERM                                   </t>
  </si>
  <si>
    <t xml:space="preserve">APPLE INC.                    </t>
  </si>
  <si>
    <t xml:space="preserve">EXXON MOBIL CORPORATION       </t>
  </si>
  <si>
    <t xml:space="preserve">JOHNSON AND JOHNSON           </t>
  </si>
  <si>
    <t xml:space="preserve">FNMA NOTES                    </t>
  </si>
  <si>
    <t xml:space="preserve">FHLMC NOTES                   </t>
  </si>
  <si>
    <t xml:space="preserve">FFCB NOTES                    </t>
  </si>
  <si>
    <t xml:space="preserve">FHLB NOTES                    </t>
  </si>
  <si>
    <t xml:space="preserve">FARMER MAC NOTES              </t>
  </si>
  <si>
    <t xml:space="preserve">PRINCIPAL PAYDOWN   </t>
  </si>
  <si>
    <t xml:space="preserve">FNMA ARM MBS                  </t>
  </si>
  <si>
    <t xml:space="preserve">REGULAR                       </t>
  </si>
  <si>
    <t xml:space="preserve">NORTHERN REGULAR              </t>
  </si>
  <si>
    <t>370-852-120-001</t>
  </si>
  <si>
    <t xml:space="preserve">SBA-FHLMC INVESTMENT                                        </t>
  </si>
  <si>
    <t xml:space="preserve">FHLMC ARM MBS                 </t>
  </si>
  <si>
    <t xml:space="preserve">NORTHERN TRUST CHICAGO        </t>
  </si>
  <si>
    <t xml:space="preserve">STATE OF ISRAEL BONDS         </t>
  </si>
  <si>
    <t>370-852-215-001</t>
  </si>
  <si>
    <t xml:space="preserve">STATE OF ISRAEL BONDS-INTEREST                              </t>
  </si>
  <si>
    <t xml:space="preserve">PRIVATE EQUITY      </t>
  </si>
  <si>
    <t xml:space="preserve">ILL TECHNOLOGY DEVELOPMENT    </t>
  </si>
  <si>
    <t xml:space="preserve">MVC GP II,LLC                 </t>
  </si>
  <si>
    <t>370-852-397-001</t>
  </si>
  <si>
    <t xml:space="preserve">IL TECHNOLOGY DEVELOPMENT ACCT                              </t>
  </si>
  <si>
    <t xml:space="preserve">PRAIRIE CAPITAL V, LP         </t>
  </si>
  <si>
    <t>STERLING SMALL MKT GROWTH 2009</t>
  </si>
  <si>
    <t xml:space="preserve">MK CAPITAL II LP              </t>
  </si>
  <si>
    <t xml:space="preserve">ILL EMERGING TECHNOLOGY FD II </t>
  </si>
  <si>
    <t xml:space="preserve">BAIRD VENTURE PARTNERS III    </t>
  </si>
  <si>
    <t xml:space="preserve">ILL INNOVATION ACCELERATOR FD </t>
  </si>
  <si>
    <t xml:space="preserve">OPEN PRAIRIE VENTURES II, LP  </t>
  </si>
  <si>
    <t xml:space="preserve">SVOBODA, COLLINS LLC          </t>
  </si>
  <si>
    <t xml:space="preserve">PATRIOT CAPITAL II, LP        </t>
  </si>
  <si>
    <t xml:space="preserve">JK &amp; B CAPITAL V, L.P.        </t>
  </si>
  <si>
    <t xml:space="preserve">OCA VENTURE PARTNERS II, L.P. </t>
  </si>
  <si>
    <t xml:space="preserve">CERES VENTURE FUND,L.P.       </t>
  </si>
  <si>
    <t xml:space="preserve">APEX VENTURE PARTNERS         </t>
  </si>
  <si>
    <t xml:space="preserve">STERLING VENTURE PARTNERS II  </t>
  </si>
  <si>
    <t xml:space="preserve">GUREN CAPITAL PARTNERS        </t>
  </si>
  <si>
    <t>BEECKEN PETTY O'KEEFE FD II LP</t>
  </si>
  <si>
    <t xml:space="preserve">MK CAPITAL, LP                </t>
  </si>
  <si>
    <t xml:space="preserve">ILL EMERGING TECHNOLOGY FUND  </t>
  </si>
  <si>
    <t xml:space="preserve">IL TECH DEV II (IGIF)         </t>
  </si>
  <si>
    <t xml:space="preserve">GREAT POINT VENTURES          </t>
  </si>
  <si>
    <t>370-852-171-001</t>
  </si>
  <si>
    <t xml:space="preserve"> TDA2-IGIF                                                  </t>
  </si>
  <si>
    <t xml:space="preserve">MADISON DEARBORN PARTNERS     </t>
  </si>
  <si>
    <t xml:space="preserve">CHICAGO VENTURES              </t>
  </si>
  <si>
    <t xml:space="preserve">HYDE PARK VENTURE PARTNERS    </t>
  </si>
  <si>
    <t xml:space="preserve">CORAZON                       </t>
  </si>
  <si>
    <t xml:space="preserve">MODERNE VENTURES FUND I       </t>
  </si>
  <si>
    <t>M</t>
  </si>
  <si>
    <t>H06</t>
  </si>
  <si>
    <t xml:space="preserve">HSBC SECURITIES               </t>
  </si>
  <si>
    <t>ACT/360</t>
  </si>
  <si>
    <t xml:space="preserve">         </t>
  </si>
  <si>
    <t xml:space="preserve">             </t>
  </si>
  <si>
    <t xml:space="preserve">              </t>
  </si>
  <si>
    <t>N12</t>
  </si>
  <si>
    <t xml:space="preserve">NESBITT BURNS SECURITIES INC. </t>
  </si>
  <si>
    <t>N11</t>
  </si>
  <si>
    <t xml:space="preserve">NORTHERN TRUST COMPANY        </t>
  </si>
  <si>
    <t>W01</t>
  </si>
  <si>
    <t xml:space="preserve"> </t>
  </si>
  <si>
    <t>M14</t>
  </si>
  <si>
    <t xml:space="preserve">MIZUHO SECURITIES US          </t>
  </si>
  <si>
    <t>P07</t>
  </si>
  <si>
    <t xml:space="preserve">PIPER JAFFRAY &amp; CO            </t>
  </si>
  <si>
    <t xml:space="preserve">       </t>
  </si>
  <si>
    <t>45905UUM4</t>
  </si>
  <si>
    <t>C31</t>
  </si>
  <si>
    <t xml:space="preserve">CASTLEOAK                     </t>
  </si>
  <si>
    <t>4581X0BZ0</t>
  </si>
  <si>
    <t>459058EJ8</t>
  </si>
  <si>
    <t>L03</t>
  </si>
  <si>
    <t xml:space="preserve">LOOP CAPITAL MARKETS          </t>
  </si>
  <si>
    <t>M29</t>
  </si>
  <si>
    <t xml:space="preserve">MULTI-BANK SECURITIES         </t>
  </si>
  <si>
    <t>459058FE8</t>
  </si>
  <si>
    <t>R08</t>
  </si>
  <si>
    <t xml:space="preserve">RBC CAPITAL MARKETS           </t>
  </si>
  <si>
    <t>459058FK4</t>
  </si>
  <si>
    <t>459058FS7</t>
  </si>
  <si>
    <t>459058FZ1</t>
  </si>
  <si>
    <t>459058FM0</t>
  </si>
  <si>
    <t>459058FP3</t>
  </si>
  <si>
    <t>U03</t>
  </si>
  <si>
    <t>00/00/00</t>
  </si>
  <si>
    <t>ACT/ACT</t>
  </si>
  <si>
    <t xml:space="preserve">MIL/   </t>
  </si>
  <si>
    <t>D04</t>
  </si>
  <si>
    <t xml:space="preserve">DEUTSCHE BANK                 </t>
  </si>
  <si>
    <t>N30</t>
  </si>
  <si>
    <t xml:space="preserve">NORTHERN TR WILLIAMS CAP      </t>
  </si>
  <si>
    <t>M04</t>
  </si>
  <si>
    <t xml:space="preserve">MILESTONE                     </t>
  </si>
  <si>
    <t>G12</t>
  </si>
  <si>
    <t xml:space="preserve">GOLDMAN SACHS/TREASURY CURVE  </t>
  </si>
  <si>
    <t>F23</t>
  </si>
  <si>
    <t xml:space="preserve">FEDERATED/TREASURY CURVE      </t>
  </si>
  <si>
    <t>A09</t>
  </si>
  <si>
    <t xml:space="preserve">AMERICAN FREEDOM FUNDS        </t>
  </si>
  <si>
    <t>A14</t>
  </si>
  <si>
    <t xml:space="preserve">AIM INST FDS/TREASURY CURVE   </t>
  </si>
  <si>
    <t>W04</t>
  </si>
  <si>
    <t xml:space="preserve">WILLIAMS CAP/TREASURY CURVE   </t>
  </si>
  <si>
    <t>W05</t>
  </si>
  <si>
    <t xml:space="preserve">WESTERN GOVT/TREAS CURVE      </t>
  </si>
  <si>
    <t>M03</t>
  </si>
  <si>
    <t xml:space="preserve">MORGAN STANLEY                </t>
  </si>
  <si>
    <t>J03</t>
  </si>
  <si>
    <t xml:space="preserve">JPMORGAN SWEEP- CHGO          </t>
  </si>
  <si>
    <t>J02</t>
  </si>
  <si>
    <t xml:space="preserve">JPMORGAN SWEEP- SPFLD         </t>
  </si>
  <si>
    <t>N15</t>
  </si>
  <si>
    <t xml:space="preserve">NATIONAL CITY CR.CARD         </t>
  </si>
  <si>
    <t>I02</t>
  </si>
  <si>
    <t xml:space="preserve">I.N.B CLEARING LOCKBOX        </t>
  </si>
  <si>
    <t>I16</t>
  </si>
  <si>
    <t xml:space="preserve">INB ISTHA E-PAY               </t>
  </si>
  <si>
    <t>I20</t>
  </si>
  <si>
    <t xml:space="preserve">INB  IDOR E-PAY               </t>
  </si>
  <si>
    <t>I21</t>
  </si>
  <si>
    <t xml:space="preserve">INB SOS E-PAY                 </t>
  </si>
  <si>
    <t>I22</t>
  </si>
  <si>
    <t xml:space="preserve">INB TREASURER E-PAY           </t>
  </si>
  <si>
    <t>I19</t>
  </si>
  <si>
    <t xml:space="preserve">INB IDFPR E-PAY               </t>
  </si>
  <si>
    <t>B01</t>
  </si>
  <si>
    <t>ACT/365</t>
  </si>
  <si>
    <t>A13</t>
  </si>
  <si>
    <t>C04</t>
  </si>
  <si>
    <t>T10</t>
  </si>
  <si>
    <t>TORONTO DOMINION HDG/CABRERA C</t>
  </si>
  <si>
    <t>A28</t>
  </si>
  <si>
    <t xml:space="preserve">ADM/GREAT PACIFIC             </t>
  </si>
  <si>
    <t>03948GQX4</t>
  </si>
  <si>
    <t>A31</t>
  </si>
  <si>
    <t xml:space="preserve">APPLE/GREAT PACIFIC           </t>
  </si>
  <si>
    <t>03785DR32</t>
  </si>
  <si>
    <t>A18</t>
  </si>
  <si>
    <t xml:space="preserve">ABN AMBRO/CITIGROUP           </t>
  </si>
  <si>
    <t>00084BR30</t>
  </si>
  <si>
    <t>06366GR35</t>
  </si>
  <si>
    <t>T06</t>
  </si>
  <si>
    <t xml:space="preserve">TORONTO/MISCHLER              </t>
  </si>
  <si>
    <t>89116ER39</t>
  </si>
  <si>
    <t>06366GR50</t>
  </si>
  <si>
    <t>I17</t>
  </si>
  <si>
    <t xml:space="preserve">ING FUNDING/MISCHLER          </t>
  </si>
  <si>
    <t>4497W0S17</t>
  </si>
  <si>
    <t>06366GS18</t>
  </si>
  <si>
    <t>I15</t>
  </si>
  <si>
    <t xml:space="preserve">ING FUNDING/CASTLEOAK         </t>
  </si>
  <si>
    <t>I13</t>
  </si>
  <si>
    <t xml:space="preserve">ING FUNDING/ALAMO             </t>
  </si>
  <si>
    <t>I12</t>
  </si>
  <si>
    <t xml:space="preserve">ING FUNDING/GREAT PACIFIC     </t>
  </si>
  <si>
    <t>A32</t>
  </si>
  <si>
    <t xml:space="preserve">APPLE/CASTLE OAK              </t>
  </si>
  <si>
    <t>03785DS15</t>
  </si>
  <si>
    <t>4497W0S25</t>
  </si>
  <si>
    <t>4497W0SC3</t>
  </si>
  <si>
    <t>A29</t>
  </si>
  <si>
    <t xml:space="preserve">ABN AMRO/GREAT PACIFIC        </t>
  </si>
  <si>
    <t>00084BT12</t>
  </si>
  <si>
    <t>P13</t>
  </si>
  <si>
    <t xml:space="preserve">PFIZER/ GREAT PACIFIC         </t>
  </si>
  <si>
    <t>71708ET13</t>
  </si>
  <si>
    <t>P20</t>
  </si>
  <si>
    <t xml:space="preserve">PFIZER/MISCHLER               </t>
  </si>
  <si>
    <t>P24</t>
  </si>
  <si>
    <t xml:space="preserve">PFIZER/CASTLEOAK              </t>
  </si>
  <si>
    <t>4497W0T16</t>
  </si>
  <si>
    <t>00084BT53</t>
  </si>
  <si>
    <t>A48</t>
  </si>
  <si>
    <t>ALLIANCE BERNSTEIN/CABRERA CAP</t>
  </si>
  <si>
    <t>01854VT63</t>
  </si>
  <si>
    <t>A37</t>
  </si>
  <si>
    <t xml:space="preserve">ALLIANCE BERNSTEIN/MISCHLER   </t>
  </si>
  <si>
    <t>01854VT71</t>
  </si>
  <si>
    <t>00084BTN4</t>
  </si>
  <si>
    <t>4497W0U30</t>
  </si>
  <si>
    <t>T04</t>
  </si>
  <si>
    <t xml:space="preserve">TORONTO DOMINION HDG USA      </t>
  </si>
  <si>
    <t>89116EU35</t>
  </si>
  <si>
    <t>89116EU76</t>
  </si>
  <si>
    <t>00084BUA0</t>
  </si>
  <si>
    <t>71708EUA1</t>
  </si>
  <si>
    <t>C40</t>
  </si>
  <si>
    <t xml:space="preserve">COCACOLA/ALAMO                </t>
  </si>
  <si>
    <t>19121AUM1</t>
  </si>
  <si>
    <t>C35</t>
  </si>
  <si>
    <t xml:space="preserve">COCACOLA/GREAT PACIFIC        </t>
  </si>
  <si>
    <t>00084BV19</t>
  </si>
  <si>
    <t>C34</t>
  </si>
  <si>
    <t xml:space="preserve">COCACOLA/WILLIAMS CAP         </t>
  </si>
  <si>
    <t>19121AV16</t>
  </si>
  <si>
    <t>C41</t>
  </si>
  <si>
    <t xml:space="preserve">CHEVRON/MISCHLER              </t>
  </si>
  <si>
    <t>16677JV86</t>
  </si>
  <si>
    <t>C42</t>
  </si>
  <si>
    <t xml:space="preserve">CHEVRON/CASTLEOAK             </t>
  </si>
  <si>
    <t>16677JV94</t>
  </si>
  <si>
    <t>19121AW15</t>
  </si>
  <si>
    <t>16677JW10</t>
  </si>
  <si>
    <t>00084BW18</t>
  </si>
  <si>
    <t>B10</t>
  </si>
  <si>
    <t xml:space="preserve">BARCLAY'S                     </t>
  </si>
  <si>
    <t>912796KQ1</t>
  </si>
  <si>
    <t>R09</t>
  </si>
  <si>
    <t xml:space="preserve">RBS HOLDING USA               </t>
  </si>
  <si>
    <t>C33</t>
  </si>
  <si>
    <t xml:space="preserve">CABRERA CAPITAL               </t>
  </si>
  <si>
    <t>912796JP5</t>
  </si>
  <si>
    <t>912796KU2</t>
  </si>
  <si>
    <t>912796LA5</t>
  </si>
  <si>
    <t>B04</t>
  </si>
  <si>
    <t xml:space="preserve">BANK OF AMERICA, SECURITIES   </t>
  </si>
  <si>
    <t>J01</t>
  </si>
  <si>
    <t xml:space="preserve">J.P. MORGAN                   </t>
  </si>
  <si>
    <t>912796LJ6</t>
  </si>
  <si>
    <t>T11</t>
  </si>
  <si>
    <t xml:space="preserve">TDS                           </t>
  </si>
  <si>
    <t>912796LN7</t>
  </si>
  <si>
    <t>S14</t>
  </si>
  <si>
    <t xml:space="preserve">SOCIETE GENERAL               </t>
  </si>
  <si>
    <t>912796LD9</t>
  </si>
  <si>
    <t>912796LK3</t>
  </si>
  <si>
    <t>M06</t>
  </si>
  <si>
    <t xml:space="preserve">MISCHLER FINANCIAL            </t>
  </si>
  <si>
    <t>313589FQ1</t>
  </si>
  <si>
    <t>313589GH0</t>
  </si>
  <si>
    <t>313397LD1</t>
  </si>
  <si>
    <t>313397DW8</t>
  </si>
  <si>
    <t>G14</t>
  </si>
  <si>
    <t xml:space="preserve">GREAT PACIFIC SECURITIES      </t>
  </si>
  <si>
    <t>313397EL1</t>
  </si>
  <si>
    <t>D06</t>
  </si>
  <si>
    <t xml:space="preserve">DREXEL HAMILTON LLC           </t>
  </si>
  <si>
    <t>313397FC0</t>
  </si>
  <si>
    <t>313397FH9</t>
  </si>
  <si>
    <t>313397FU0</t>
  </si>
  <si>
    <t>313397GM7</t>
  </si>
  <si>
    <t>313397HR5</t>
  </si>
  <si>
    <t>313397HY0</t>
  </si>
  <si>
    <t>313385PY6</t>
  </si>
  <si>
    <t>W10</t>
  </si>
  <si>
    <t xml:space="preserve">WILLIAMS CAPITAL              </t>
  </si>
  <si>
    <t>313385ED4</t>
  </si>
  <si>
    <t>313385FK7</t>
  </si>
  <si>
    <t>313385GQ3</t>
  </si>
  <si>
    <t>31315LNR5</t>
  </si>
  <si>
    <t>R10</t>
  </si>
  <si>
    <t xml:space="preserve">RAMIREZ &amp; CO                  </t>
  </si>
  <si>
    <t>31315LNS3</t>
  </si>
  <si>
    <t>31315LPF9</t>
  </si>
  <si>
    <t>31315LRG5</t>
  </si>
  <si>
    <t>912828K66</t>
  </si>
  <si>
    <t>912828XP0</t>
  </si>
  <si>
    <t>912828TG5</t>
  </si>
  <si>
    <t>912828TM2</t>
  </si>
  <si>
    <t>912828TS9</t>
  </si>
  <si>
    <t>912828TW0</t>
  </si>
  <si>
    <t>912828UA6</t>
  </si>
  <si>
    <t>912828UE8</t>
  </si>
  <si>
    <t>912828N55</t>
  </si>
  <si>
    <t>912828P20</t>
  </si>
  <si>
    <t>U08</t>
  </si>
  <si>
    <t xml:space="preserve">UBS                           </t>
  </si>
  <si>
    <t>912828B33</t>
  </si>
  <si>
    <t>912828C24</t>
  </si>
  <si>
    <t>830728SH5</t>
  </si>
  <si>
    <t>215543LN7</t>
  </si>
  <si>
    <t>215543LP2</t>
  </si>
  <si>
    <t>M32</t>
  </si>
  <si>
    <t xml:space="preserve">MICROSOFT/ CABRERA            </t>
  </si>
  <si>
    <t>594918AV6</t>
  </si>
  <si>
    <t>594918BV5</t>
  </si>
  <si>
    <t>594918BP8</t>
  </si>
  <si>
    <t>037833CE8</t>
  </si>
  <si>
    <t>037833BQ2</t>
  </si>
  <si>
    <t>037833CK4</t>
  </si>
  <si>
    <t>037833CC2</t>
  </si>
  <si>
    <t>30231GAP7</t>
  </si>
  <si>
    <t>30231GAD4</t>
  </si>
  <si>
    <t>478160CD4</t>
  </si>
  <si>
    <t>F09</t>
  </si>
  <si>
    <t xml:space="preserve">FIRST TENNESSEE               </t>
  </si>
  <si>
    <t>3136G1MQ9</t>
  </si>
  <si>
    <t>3136G1KD0</t>
  </si>
  <si>
    <t>3135G0XA6</t>
  </si>
  <si>
    <t>M05</t>
  </si>
  <si>
    <t xml:space="preserve">MORGAN / DEAN WITTER DISCOVER </t>
  </si>
  <si>
    <t>3135G0XG3</t>
  </si>
  <si>
    <t>3135G0N58</t>
  </si>
  <si>
    <t>S11</t>
  </si>
  <si>
    <t xml:space="preserve">SUN TRUST                     </t>
  </si>
  <si>
    <t>3136G35A9</t>
  </si>
  <si>
    <t>3136G34L6</t>
  </si>
  <si>
    <t>3135G0P64</t>
  </si>
  <si>
    <t>3136G36V2</t>
  </si>
  <si>
    <t>3135G0T29</t>
  </si>
  <si>
    <t>3136G36R1</t>
  </si>
  <si>
    <t>3136G4AL7</t>
  </si>
  <si>
    <t>3136G3D85</t>
  </si>
  <si>
    <t>3136G3W35</t>
  </si>
  <si>
    <t>3134G43Y2</t>
  </si>
  <si>
    <t>3137EADV8</t>
  </si>
  <si>
    <t>F39</t>
  </si>
  <si>
    <t xml:space="preserve">FTN FINANCIAL                 </t>
  </si>
  <si>
    <t>3134G3B90</t>
  </si>
  <si>
    <t>S06</t>
  </si>
  <si>
    <t xml:space="preserve">SOUTHWEST SECURITIES INC.     </t>
  </si>
  <si>
    <t>3134G44N5</t>
  </si>
  <si>
    <t>3134G9PE1</t>
  </si>
  <si>
    <t>3134G9UD7</t>
  </si>
  <si>
    <t>J05</t>
  </si>
  <si>
    <t xml:space="preserve">JEFFERIES                     </t>
  </si>
  <si>
    <t>3134G9WU7</t>
  </si>
  <si>
    <t>F34</t>
  </si>
  <si>
    <t xml:space="preserve">FIRST TENNESSEE CAPITAL       </t>
  </si>
  <si>
    <t>3134G9BD8</t>
  </si>
  <si>
    <t>3137EAEA3</t>
  </si>
  <si>
    <t>H13</t>
  </si>
  <si>
    <t xml:space="preserve">HILLTOP SEC                   </t>
  </si>
  <si>
    <t>3134G9C96</t>
  </si>
  <si>
    <t>3134GAXQ2</t>
  </si>
  <si>
    <t>3137EAEB1</t>
  </si>
  <si>
    <t>3134G9T80</t>
  </si>
  <si>
    <t>3134GAEV2</t>
  </si>
  <si>
    <t>3134GALN2</t>
  </si>
  <si>
    <t>3134G9Y84</t>
  </si>
  <si>
    <t>3134G96N2</t>
  </si>
  <si>
    <t>3134GAMS0</t>
  </si>
  <si>
    <t>3134G9Q59</t>
  </si>
  <si>
    <t>3134G95E3</t>
  </si>
  <si>
    <t>3134GADF8</t>
  </si>
  <si>
    <t>3134G95A1</t>
  </si>
  <si>
    <t>3134GAGU2</t>
  </si>
  <si>
    <t>3134G95F0</t>
  </si>
  <si>
    <t>3134GADK7</t>
  </si>
  <si>
    <t>3134GAMP6</t>
  </si>
  <si>
    <t>3134GAPR9</t>
  </si>
  <si>
    <t>3133EGDG7</t>
  </si>
  <si>
    <t>3133EGKN4</t>
  </si>
  <si>
    <t>3133EGUA1</t>
  </si>
  <si>
    <t>3133EG5Q4</t>
  </si>
  <si>
    <t>3133EHAP8</t>
  </si>
  <si>
    <t>3130A1NN4</t>
  </si>
  <si>
    <t>3130A8UD3</t>
  </si>
  <si>
    <t>3130A5HT9</t>
  </si>
  <si>
    <t>3130A6LZ8</t>
  </si>
  <si>
    <t>3130A7W76</t>
  </si>
  <si>
    <t>3130A8AC7</t>
  </si>
  <si>
    <t>3130A4GJ5</t>
  </si>
  <si>
    <t>3130A9Q79</t>
  </si>
  <si>
    <t>3130AAE46</t>
  </si>
  <si>
    <t>3130AAM54</t>
  </si>
  <si>
    <t>3130A8Y72</t>
  </si>
  <si>
    <t>3130A9EP2</t>
  </si>
  <si>
    <t>3130A8T94</t>
  </si>
  <si>
    <t>3132X0FX4</t>
  </si>
  <si>
    <t>3132X0FG1</t>
  </si>
  <si>
    <t>3132X0JB8</t>
  </si>
  <si>
    <t>3132X0EZ0</t>
  </si>
  <si>
    <t>3132X0FS5</t>
  </si>
  <si>
    <t>31315P6K0</t>
  </si>
  <si>
    <t>3132X0JE2</t>
  </si>
  <si>
    <t>3132X0NS6</t>
  </si>
  <si>
    <t>3132X0LC3</t>
  </si>
  <si>
    <t>3132X0JN2</t>
  </si>
  <si>
    <t>3132X0KJ9</t>
  </si>
  <si>
    <t>3132X0LD1</t>
  </si>
  <si>
    <t>3132X0LR0</t>
  </si>
  <si>
    <t>3132X0MA6</t>
  </si>
  <si>
    <t>3132X0NR8</t>
  </si>
  <si>
    <t>3132X0PA3</t>
  </si>
  <si>
    <t>3132X0PF2</t>
  </si>
  <si>
    <t>3132X0QF1</t>
  </si>
  <si>
    <t>3132X0ME8</t>
  </si>
  <si>
    <t>3132X0PC9</t>
  </si>
  <si>
    <t>3132X0PD7</t>
  </si>
  <si>
    <t>31315PP29</t>
  </si>
  <si>
    <t>3132X0QH7</t>
  </si>
  <si>
    <t>3132X0PR6</t>
  </si>
  <si>
    <t>3132X0PE5</t>
  </si>
  <si>
    <t>31315PV30</t>
  </si>
  <si>
    <t>3132X0PS4</t>
  </si>
  <si>
    <t>31315PT82</t>
  </si>
  <si>
    <t>R01</t>
  </si>
  <si>
    <t xml:space="preserve">BANK ONE ROCKFORD             </t>
  </si>
  <si>
    <t>C30</t>
  </si>
  <si>
    <t>COMPUTERSHARE INVESTOR SERVICE</t>
  </si>
  <si>
    <t>46513BX78</t>
  </si>
  <si>
    <t>46513CN51</t>
  </si>
  <si>
    <t>46513CSD9</t>
  </si>
  <si>
    <t>46513XGD6</t>
  </si>
  <si>
    <t>M17</t>
  </si>
  <si>
    <t>P08</t>
  </si>
  <si>
    <t>S13</t>
  </si>
  <si>
    <t>M15</t>
  </si>
  <si>
    <t xml:space="preserve">MK CAPITAL II, LP             </t>
  </si>
  <si>
    <t>I06</t>
  </si>
  <si>
    <t>B16</t>
  </si>
  <si>
    <t xml:space="preserve">BAIRD VENTURE PARTNERS        </t>
  </si>
  <si>
    <t>I05</t>
  </si>
  <si>
    <t>O11</t>
  </si>
  <si>
    <t xml:space="preserve">OPEN PRAIRIE VENTURE II       </t>
  </si>
  <si>
    <t>S12</t>
  </si>
  <si>
    <t xml:space="preserve">SVOBODA, COLLINS L.L.C.       </t>
  </si>
  <si>
    <t>P06</t>
  </si>
  <si>
    <t xml:space="preserve">PATRIOT CAPITAL               </t>
  </si>
  <si>
    <t>J04</t>
  </si>
  <si>
    <t xml:space="preserve">JK &amp; B VENTURES               </t>
  </si>
  <si>
    <t>O03</t>
  </si>
  <si>
    <t xml:space="preserve">OCA VENTURE PARTNERS          </t>
  </si>
  <si>
    <t>C24</t>
  </si>
  <si>
    <t xml:space="preserve">CERES VENTURE FUND            </t>
  </si>
  <si>
    <t>A11</t>
  </si>
  <si>
    <t>S09</t>
  </si>
  <si>
    <t>G11</t>
  </si>
  <si>
    <t>B13</t>
  </si>
  <si>
    <t>BEECKEN PETTY O'KEEFE QP FD II</t>
  </si>
  <si>
    <t>M13</t>
  </si>
  <si>
    <t>I04</t>
  </si>
  <si>
    <t xml:space="preserve">ILL EMERGING TECHNOLOGY FD    </t>
  </si>
  <si>
    <t>G18</t>
  </si>
  <si>
    <t>GREATPOINT VENTURES INNOVATION</t>
  </si>
  <si>
    <t>M35</t>
  </si>
  <si>
    <t>MADISON DEARBORN PARTNERS, LLC</t>
  </si>
  <si>
    <t>C36</t>
  </si>
  <si>
    <t xml:space="preserve">CHICAGO VENTURES FUND II L.P. </t>
  </si>
  <si>
    <t>H18</t>
  </si>
  <si>
    <t>HYDE PARK VENTURE PARTNERS FUN</t>
  </si>
  <si>
    <t>C39</t>
  </si>
  <si>
    <t xml:space="preserve">CORAZON CAP II LP             </t>
  </si>
  <si>
    <t>M37</t>
  </si>
  <si>
    <t xml:space="preserve">MODERNE VENTURES FUND I LP    </t>
  </si>
  <si>
    <t>06366GR68</t>
  </si>
  <si>
    <t>3132X0QU8</t>
  </si>
  <si>
    <t>3132X0QV6</t>
  </si>
  <si>
    <t xml:space="preserve">BULLPEN CAPITAL III           </t>
  </si>
  <si>
    <t>H19</t>
  </si>
  <si>
    <t xml:space="preserve">HOME DEPOT/CABRERA CAPITAL    </t>
  </si>
  <si>
    <t>43707LR35</t>
  </si>
  <si>
    <t>06366GR76</t>
  </si>
  <si>
    <t>912828Q45</t>
  </si>
  <si>
    <t>B25</t>
  </si>
  <si>
    <t xml:space="preserve">BULLPEN CAPITAL               </t>
  </si>
  <si>
    <t xml:space="preserve">CLEARING THA  17412706        </t>
  </si>
  <si>
    <t>370-852-080-455</t>
  </si>
  <si>
    <t xml:space="preserve">T/H I-PASS CLEARING REPO INT                                </t>
  </si>
  <si>
    <t xml:space="preserve">FORGERY                       </t>
  </si>
  <si>
    <t>912828UU2</t>
  </si>
  <si>
    <t>3136G4MS9</t>
  </si>
  <si>
    <t>3134GBDF6</t>
  </si>
  <si>
    <t>3133EHDQ3</t>
  </si>
  <si>
    <t>3130AAX78</t>
  </si>
  <si>
    <t xml:space="preserve">FIFTH THIRD BANK              </t>
  </si>
  <si>
    <t>370-852-260-001</t>
  </si>
  <si>
    <t xml:space="preserve">FIFTH THIRD CLEARING REPO                                   </t>
  </si>
  <si>
    <t xml:space="preserve">CLEARING CHILD SUPPORT        </t>
  </si>
  <si>
    <t xml:space="preserve">FIFTH THIRD                   </t>
  </si>
  <si>
    <t>370-852-275-001</t>
  </si>
  <si>
    <t xml:space="preserve">5TH THIRD CHLD SPRT CLRNG REPO                              </t>
  </si>
  <si>
    <t>F24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</si>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</sst>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"/>
    <numFmt numFmtId="167" formatCode="_([$€-2]* #,##0.00_);_([$€-2]* \(#,##0.00\);_([$€-2]* &quot;-&quot;??_)"/>
    <numFmt numFmtId="168" formatCode="_(&quot;$&quot;* #,##0_);_(&quot;$&quot;* \(#,##0\);_(&quot;$&quot;* &quot;-&quot;??_);_(@_)"/>
    <numFmt numFmtId="169" formatCode="0.0"/>
    <numFmt numFmtId="170" formatCode="_(* #,##0_);_(* \(#,##0\);_(* &quot;-&quot;??_);_(@_)"/>
    <numFmt numFmtId="171" formatCode="#,##0.0"/>
    <numFmt numFmtId="172" formatCode="0.000000000"/>
    <numFmt numFmtId="173" formatCode="0.0000%"/>
    <numFmt numFmtId="174" formatCode="[$-409]mmmm\-yy;@"/>
    <numFmt numFmtId="175" formatCode="[$-409]mmm\-yy;@"/>
    <numFmt numFmtId="176" formatCode="&quot;$&quot;#,##0.00"/>
    <numFmt numFmtId="177" formatCode="0.000000%"/>
    <numFmt numFmtId="178" formatCode="mmm\-yyyy"/>
  </numFmts>
  <fonts count="2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3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name val="Times New Roman"/>
      <family val="1"/>
    </font>
    <font>
      <sz val="10"/>
      <name val="Arial"/>
      <family val="2"/>
    </font>
    <font>
      <sz val="11"/>
      <color theme="0"/>
      <name val="Times New Roman"/>
      <family val="1"/>
    </font>
    <font>
      <sz val="10"/>
      <name val="Arial"/>
      <family val="2"/>
    </font>
    <font>
      <i/>
      <sz val="10"/>
      <color rgb="FFFF0000"/>
      <name val="Arial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u/>
      <sz val="9"/>
      <name val="Arial"/>
      <family val="2"/>
    </font>
    <font>
      <sz val="11"/>
      <color theme="1"/>
      <name val="Times New Roman"/>
      <family val="1"/>
    </font>
    <font>
      <sz val="10"/>
      <name val="Geneva"/>
    </font>
    <font>
      <b/>
      <u/>
      <sz val="10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64">
    <xf numFmtId="0" fontId="0" fillId="0" borderId="0"/>
    <xf numFmtId="0" fontId="164" fillId="2" borderId="0" applyNumberFormat="0" applyBorder="0" applyAlignment="0" applyProtection="0"/>
    <xf numFmtId="0" fontId="164" fillId="3" borderId="0" applyNumberFormat="0" applyBorder="0" applyAlignment="0" applyProtection="0"/>
    <xf numFmtId="0" fontId="164" fillId="4" borderId="0" applyNumberFormat="0" applyBorder="0" applyAlignment="0" applyProtection="0"/>
    <xf numFmtId="0" fontId="164" fillId="5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5" fillId="14" borderId="0" applyNumberFormat="0" applyBorder="0" applyAlignment="0" applyProtection="0"/>
    <xf numFmtId="0" fontId="165" fillId="15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6" fillId="26" borderId="0" applyNumberFormat="0" applyBorder="0" applyAlignment="0" applyProtection="0"/>
    <xf numFmtId="0" fontId="167" fillId="27" borderId="9" applyNumberFormat="0" applyAlignment="0" applyProtection="0"/>
    <xf numFmtId="0" fontId="168" fillId="28" borderId="10" applyNumberFormat="0" applyAlignment="0" applyProtection="0"/>
    <xf numFmtId="0" fontId="169" fillId="0" borderId="0" applyNumberFormat="0" applyFill="0" applyBorder="0" applyAlignment="0" applyProtection="0"/>
    <xf numFmtId="0" fontId="170" fillId="29" borderId="0" applyNumberFormat="0" applyBorder="0" applyAlignment="0" applyProtection="0"/>
    <xf numFmtId="0" fontId="171" fillId="0" borderId="11" applyNumberFormat="0" applyFill="0" applyAlignment="0" applyProtection="0"/>
    <xf numFmtId="0" fontId="172" fillId="0" borderId="12" applyNumberFormat="0" applyFill="0" applyAlignment="0" applyProtection="0"/>
    <xf numFmtId="0" fontId="173" fillId="0" borderId="13" applyNumberFormat="0" applyFill="0" applyAlignment="0" applyProtection="0"/>
    <xf numFmtId="0" fontId="173" fillId="0" borderId="0" applyNumberFormat="0" applyFill="0" applyBorder="0" applyAlignment="0" applyProtection="0"/>
    <xf numFmtId="0" fontId="174" fillId="30" borderId="9" applyNumberFormat="0" applyAlignment="0" applyProtection="0"/>
    <xf numFmtId="0" fontId="175" fillId="0" borderId="14" applyNumberFormat="0" applyFill="0" applyAlignment="0" applyProtection="0"/>
    <xf numFmtId="0" fontId="176" fillId="31" borderId="0" applyNumberFormat="0" applyBorder="0" applyAlignment="0" applyProtection="0"/>
    <xf numFmtId="0" fontId="164" fillId="0" borderId="0"/>
    <xf numFmtId="0" fontId="151" fillId="0" borderId="0"/>
    <xf numFmtId="0" fontId="151" fillId="0" borderId="0"/>
    <xf numFmtId="0" fontId="164" fillId="32" borderId="15" applyNumberFormat="0" applyFont="0" applyAlignment="0" applyProtection="0"/>
    <xf numFmtId="0" fontId="177" fillId="27" borderId="16" applyNumberFormat="0" applyAlignment="0" applyProtection="0"/>
    <xf numFmtId="9" fontId="148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17" applyNumberFormat="0" applyFill="0" applyAlignment="0" applyProtection="0"/>
    <xf numFmtId="0" fontId="180" fillId="0" borderId="0" applyNumberFormat="0" applyFill="0" applyBorder="0" applyAlignment="0" applyProtection="0"/>
    <xf numFmtId="0" fontId="147" fillId="0" borderId="0"/>
    <xf numFmtId="0" fontId="147" fillId="32" borderId="15" applyNumberFormat="0" applyFont="0" applyAlignment="0" applyProtection="0"/>
    <xf numFmtId="0" fontId="147" fillId="2" borderId="0" applyNumberFormat="0" applyBorder="0" applyAlignment="0" applyProtection="0"/>
    <xf numFmtId="0" fontId="147" fillId="8" borderId="0" applyNumberFormat="0" applyBorder="0" applyAlignment="0" applyProtection="0"/>
    <xf numFmtId="0" fontId="147" fillId="3" borderId="0" applyNumberFormat="0" applyBorder="0" applyAlignment="0" applyProtection="0"/>
    <xf numFmtId="0" fontId="147" fillId="9" borderId="0" applyNumberFormat="0" applyBorder="0" applyAlignment="0" applyProtection="0"/>
    <xf numFmtId="0" fontId="147" fillId="4" borderId="0" applyNumberFormat="0" applyBorder="0" applyAlignment="0" applyProtection="0"/>
    <xf numFmtId="0" fontId="147" fillId="10" borderId="0" applyNumberFormat="0" applyBorder="0" applyAlignment="0" applyProtection="0"/>
    <xf numFmtId="0" fontId="147" fillId="5" borderId="0" applyNumberFormat="0" applyBorder="0" applyAlignment="0" applyProtection="0"/>
    <xf numFmtId="0" fontId="147" fillId="11" borderId="0" applyNumberFormat="0" applyBorder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6" fillId="0" borderId="0"/>
    <xf numFmtId="0" fontId="146" fillId="32" borderId="15" applyNumberFormat="0" applyFont="0" applyAlignment="0" applyProtection="0"/>
    <xf numFmtId="0" fontId="146" fillId="2" borderId="0" applyNumberFormat="0" applyBorder="0" applyAlignment="0" applyProtection="0"/>
    <xf numFmtId="0" fontId="146" fillId="8" borderId="0" applyNumberFormat="0" applyBorder="0" applyAlignment="0" applyProtection="0"/>
    <xf numFmtId="0" fontId="146" fillId="3" borderId="0" applyNumberFormat="0" applyBorder="0" applyAlignment="0" applyProtection="0"/>
    <xf numFmtId="0" fontId="146" fillId="9" borderId="0" applyNumberFormat="0" applyBorder="0" applyAlignment="0" applyProtection="0"/>
    <xf numFmtId="0" fontId="146" fillId="4" borderId="0" applyNumberFormat="0" applyBorder="0" applyAlignment="0" applyProtection="0"/>
    <xf numFmtId="0" fontId="146" fillId="10" borderId="0" applyNumberFormat="0" applyBorder="0" applyAlignment="0" applyProtection="0"/>
    <xf numFmtId="0" fontId="146" fillId="5" borderId="0" applyNumberFormat="0" applyBorder="0" applyAlignment="0" applyProtection="0"/>
    <xf numFmtId="0" fontId="146" fillId="11" borderId="0" applyNumberFormat="0" applyBorder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5" fillId="0" borderId="0"/>
    <xf numFmtId="0" fontId="145" fillId="32" borderId="15" applyNumberFormat="0" applyFont="0" applyAlignment="0" applyProtection="0"/>
    <xf numFmtId="0" fontId="145" fillId="2" borderId="0" applyNumberFormat="0" applyBorder="0" applyAlignment="0" applyProtection="0"/>
    <xf numFmtId="0" fontId="145" fillId="8" borderId="0" applyNumberFormat="0" applyBorder="0" applyAlignment="0" applyProtection="0"/>
    <xf numFmtId="0" fontId="145" fillId="3" borderId="0" applyNumberFormat="0" applyBorder="0" applyAlignment="0" applyProtection="0"/>
    <xf numFmtId="0" fontId="145" fillId="9" borderId="0" applyNumberFormat="0" applyBorder="0" applyAlignment="0" applyProtection="0"/>
    <xf numFmtId="0" fontId="145" fillId="4" borderId="0" applyNumberFormat="0" applyBorder="0" applyAlignment="0" applyProtection="0"/>
    <xf numFmtId="0" fontId="145" fillId="10" borderId="0" applyNumberFormat="0" applyBorder="0" applyAlignment="0" applyProtection="0"/>
    <xf numFmtId="0" fontId="145" fillId="5" borderId="0" applyNumberFormat="0" applyBorder="0" applyAlignment="0" applyProtection="0"/>
    <xf numFmtId="0" fontId="145" fillId="11" borderId="0" applyNumberFormat="0" applyBorder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4" fillId="0" borderId="0"/>
    <xf numFmtId="0" fontId="144" fillId="32" borderId="15" applyNumberFormat="0" applyFont="0" applyAlignment="0" applyProtection="0"/>
    <xf numFmtId="0" fontId="144" fillId="2" borderId="0" applyNumberFormat="0" applyBorder="0" applyAlignment="0" applyProtection="0"/>
    <xf numFmtId="0" fontId="144" fillId="8" borderId="0" applyNumberFormat="0" applyBorder="0" applyAlignment="0" applyProtection="0"/>
    <xf numFmtId="0" fontId="144" fillId="3" borderId="0" applyNumberFormat="0" applyBorder="0" applyAlignment="0" applyProtection="0"/>
    <xf numFmtId="0" fontId="144" fillId="9" borderId="0" applyNumberFormat="0" applyBorder="0" applyAlignment="0" applyProtection="0"/>
    <xf numFmtId="0" fontId="144" fillId="4" borderId="0" applyNumberFormat="0" applyBorder="0" applyAlignment="0" applyProtection="0"/>
    <xf numFmtId="0" fontId="144" fillId="10" borderId="0" applyNumberFormat="0" applyBorder="0" applyAlignment="0" applyProtection="0"/>
    <xf numFmtId="0" fontId="144" fillId="5" borderId="0" applyNumberFormat="0" applyBorder="0" applyAlignment="0" applyProtection="0"/>
    <xf numFmtId="0" fontId="144" fillId="11" borderId="0" applyNumberFormat="0" applyBorder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3" fillId="0" borderId="0"/>
    <xf numFmtId="0" fontId="143" fillId="32" borderId="15" applyNumberFormat="0" applyFont="0" applyAlignment="0" applyProtection="0"/>
    <xf numFmtId="0" fontId="143" fillId="2" borderId="0" applyNumberFormat="0" applyBorder="0" applyAlignment="0" applyProtection="0"/>
    <xf numFmtId="0" fontId="143" fillId="8" borderId="0" applyNumberFormat="0" applyBorder="0" applyAlignment="0" applyProtection="0"/>
    <xf numFmtId="0" fontId="143" fillId="3" borderId="0" applyNumberFormat="0" applyBorder="0" applyAlignment="0" applyProtection="0"/>
    <xf numFmtId="0" fontId="143" fillId="9" borderId="0" applyNumberFormat="0" applyBorder="0" applyAlignment="0" applyProtection="0"/>
    <xf numFmtId="0" fontId="143" fillId="4" borderId="0" applyNumberFormat="0" applyBorder="0" applyAlignment="0" applyProtection="0"/>
    <xf numFmtId="0" fontId="143" fillId="10" borderId="0" applyNumberFormat="0" applyBorder="0" applyAlignment="0" applyProtection="0"/>
    <xf numFmtId="0" fontId="143" fillId="5" borderId="0" applyNumberFormat="0" applyBorder="0" applyAlignment="0" applyProtection="0"/>
    <xf numFmtId="0" fontId="143" fillId="11" borderId="0" applyNumberFormat="0" applyBorder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2" fillId="0" borderId="0"/>
    <xf numFmtId="0" fontId="142" fillId="32" borderId="15" applyNumberFormat="0" applyFont="0" applyAlignment="0" applyProtection="0"/>
    <xf numFmtId="0" fontId="142" fillId="2" borderId="0" applyNumberFormat="0" applyBorder="0" applyAlignment="0" applyProtection="0"/>
    <xf numFmtId="0" fontId="142" fillId="8" borderId="0" applyNumberFormat="0" applyBorder="0" applyAlignment="0" applyProtection="0"/>
    <xf numFmtId="0" fontId="142" fillId="3" borderId="0" applyNumberFormat="0" applyBorder="0" applyAlignment="0" applyProtection="0"/>
    <xf numFmtId="0" fontId="142" fillId="9" borderId="0" applyNumberFormat="0" applyBorder="0" applyAlignment="0" applyProtection="0"/>
    <xf numFmtId="0" fontId="142" fillId="4" borderId="0" applyNumberFormat="0" applyBorder="0" applyAlignment="0" applyProtection="0"/>
    <xf numFmtId="0" fontId="142" fillId="10" borderId="0" applyNumberFormat="0" applyBorder="0" applyAlignment="0" applyProtection="0"/>
    <xf numFmtId="0" fontId="142" fillId="5" borderId="0" applyNumberFormat="0" applyBorder="0" applyAlignment="0" applyProtection="0"/>
    <xf numFmtId="0" fontId="142" fillId="11" borderId="0" applyNumberFormat="0" applyBorder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1" fillId="0" borderId="0"/>
    <xf numFmtId="0" fontId="141" fillId="32" borderId="15" applyNumberFormat="0" applyFont="0" applyAlignment="0" applyProtection="0"/>
    <xf numFmtId="0" fontId="141" fillId="2" borderId="0" applyNumberFormat="0" applyBorder="0" applyAlignment="0" applyProtection="0"/>
    <xf numFmtId="0" fontId="141" fillId="8" borderId="0" applyNumberFormat="0" applyBorder="0" applyAlignment="0" applyProtection="0"/>
    <xf numFmtId="0" fontId="141" fillId="3" borderId="0" applyNumberFormat="0" applyBorder="0" applyAlignment="0" applyProtection="0"/>
    <xf numFmtId="0" fontId="141" fillId="9" borderId="0" applyNumberFormat="0" applyBorder="0" applyAlignment="0" applyProtection="0"/>
    <xf numFmtId="0" fontId="141" fillId="4" borderId="0" applyNumberFormat="0" applyBorder="0" applyAlignment="0" applyProtection="0"/>
    <xf numFmtId="0" fontId="141" fillId="10" borderId="0" applyNumberFormat="0" applyBorder="0" applyAlignment="0" applyProtection="0"/>
    <xf numFmtId="0" fontId="141" fillId="5" borderId="0" applyNumberFormat="0" applyBorder="0" applyAlignment="0" applyProtection="0"/>
    <xf numFmtId="0" fontId="141" fillId="11" borderId="0" applyNumberFormat="0" applyBorder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0" fillId="0" borderId="0"/>
    <xf numFmtId="0" fontId="140" fillId="32" borderId="15" applyNumberFormat="0" applyFont="0" applyAlignment="0" applyProtection="0"/>
    <xf numFmtId="0" fontId="140" fillId="2" borderId="0" applyNumberFormat="0" applyBorder="0" applyAlignment="0" applyProtection="0"/>
    <xf numFmtId="0" fontId="140" fillId="8" borderId="0" applyNumberFormat="0" applyBorder="0" applyAlignment="0" applyProtection="0"/>
    <xf numFmtId="0" fontId="140" fillId="3" borderId="0" applyNumberFormat="0" applyBorder="0" applyAlignment="0" applyProtection="0"/>
    <xf numFmtId="0" fontId="140" fillId="9" borderId="0" applyNumberFormat="0" applyBorder="0" applyAlignment="0" applyProtection="0"/>
    <xf numFmtId="0" fontId="140" fillId="4" borderId="0" applyNumberFormat="0" applyBorder="0" applyAlignment="0" applyProtection="0"/>
    <xf numFmtId="0" fontId="140" fillId="10" borderId="0" applyNumberFormat="0" applyBorder="0" applyAlignment="0" applyProtection="0"/>
    <xf numFmtId="0" fontId="140" fillId="5" borderId="0" applyNumberFormat="0" applyBorder="0" applyAlignment="0" applyProtection="0"/>
    <xf numFmtId="0" fontId="140" fillId="11" borderId="0" applyNumberFormat="0" applyBorder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39" fillId="0" borderId="0"/>
    <xf numFmtId="0" fontId="139" fillId="32" borderId="15" applyNumberFormat="0" applyFont="0" applyAlignment="0" applyProtection="0"/>
    <xf numFmtId="0" fontId="139" fillId="2" borderId="0" applyNumberFormat="0" applyBorder="0" applyAlignment="0" applyProtection="0"/>
    <xf numFmtId="0" fontId="139" fillId="8" borderId="0" applyNumberFormat="0" applyBorder="0" applyAlignment="0" applyProtection="0"/>
    <xf numFmtId="0" fontId="139" fillId="3" borderId="0" applyNumberFormat="0" applyBorder="0" applyAlignment="0" applyProtection="0"/>
    <xf numFmtId="0" fontId="139" fillId="9" borderId="0" applyNumberFormat="0" applyBorder="0" applyAlignment="0" applyProtection="0"/>
    <xf numFmtId="0" fontId="139" fillId="4" borderId="0" applyNumberFormat="0" applyBorder="0" applyAlignment="0" applyProtection="0"/>
    <xf numFmtId="0" fontId="139" fillId="10" borderId="0" applyNumberFormat="0" applyBorder="0" applyAlignment="0" applyProtection="0"/>
    <xf numFmtId="0" fontId="139" fillId="5" borderId="0" applyNumberFormat="0" applyBorder="0" applyAlignment="0" applyProtection="0"/>
    <xf numFmtId="0" fontId="139" fillId="11" borderId="0" applyNumberFormat="0" applyBorder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8" fillId="0" borderId="0"/>
    <xf numFmtId="0" fontId="138" fillId="32" borderId="15" applyNumberFormat="0" applyFont="0" applyAlignment="0" applyProtection="0"/>
    <xf numFmtId="0" fontId="138" fillId="2" borderId="0" applyNumberFormat="0" applyBorder="0" applyAlignment="0" applyProtection="0"/>
    <xf numFmtId="0" fontId="138" fillId="8" borderId="0" applyNumberFormat="0" applyBorder="0" applyAlignment="0" applyProtection="0"/>
    <xf numFmtId="0" fontId="138" fillId="3" borderId="0" applyNumberFormat="0" applyBorder="0" applyAlignment="0" applyProtection="0"/>
    <xf numFmtId="0" fontId="138" fillId="9" borderId="0" applyNumberFormat="0" applyBorder="0" applyAlignment="0" applyProtection="0"/>
    <xf numFmtId="0" fontId="138" fillId="4" borderId="0" applyNumberFormat="0" applyBorder="0" applyAlignment="0" applyProtection="0"/>
    <xf numFmtId="0" fontId="138" fillId="10" borderId="0" applyNumberFormat="0" applyBorder="0" applyAlignment="0" applyProtection="0"/>
    <xf numFmtId="0" fontId="138" fillId="5" borderId="0" applyNumberFormat="0" applyBorder="0" applyAlignment="0" applyProtection="0"/>
    <xf numFmtId="0" fontId="138" fillId="11" borderId="0" applyNumberFormat="0" applyBorder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7" fillId="0" borderId="0"/>
    <xf numFmtId="0" fontId="137" fillId="32" borderId="15" applyNumberFormat="0" applyFont="0" applyAlignment="0" applyProtection="0"/>
    <xf numFmtId="0" fontId="137" fillId="2" borderId="0" applyNumberFormat="0" applyBorder="0" applyAlignment="0" applyProtection="0"/>
    <xf numFmtId="0" fontId="137" fillId="8" borderId="0" applyNumberFormat="0" applyBorder="0" applyAlignment="0" applyProtection="0"/>
    <xf numFmtId="0" fontId="137" fillId="3" borderId="0" applyNumberFormat="0" applyBorder="0" applyAlignment="0" applyProtection="0"/>
    <xf numFmtId="0" fontId="137" fillId="9" borderId="0" applyNumberFormat="0" applyBorder="0" applyAlignment="0" applyProtection="0"/>
    <xf numFmtId="0" fontId="137" fillId="4" borderId="0" applyNumberFormat="0" applyBorder="0" applyAlignment="0" applyProtection="0"/>
    <xf numFmtId="0" fontId="137" fillId="10" borderId="0" applyNumberFormat="0" applyBorder="0" applyAlignment="0" applyProtection="0"/>
    <xf numFmtId="0" fontId="137" fillId="5" borderId="0" applyNumberFormat="0" applyBorder="0" applyAlignment="0" applyProtection="0"/>
    <xf numFmtId="0" fontId="137" fillId="11" borderId="0" applyNumberFormat="0" applyBorder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6" fillId="0" borderId="0"/>
    <xf numFmtId="0" fontId="136" fillId="32" borderId="15" applyNumberFormat="0" applyFont="0" applyAlignment="0" applyProtection="0"/>
    <xf numFmtId="0" fontId="136" fillId="2" borderId="0" applyNumberFormat="0" applyBorder="0" applyAlignment="0" applyProtection="0"/>
    <xf numFmtId="0" fontId="136" fillId="8" borderId="0" applyNumberFormat="0" applyBorder="0" applyAlignment="0" applyProtection="0"/>
    <xf numFmtId="0" fontId="136" fillId="3" borderId="0" applyNumberFormat="0" applyBorder="0" applyAlignment="0" applyProtection="0"/>
    <xf numFmtId="0" fontId="136" fillId="9" borderId="0" applyNumberFormat="0" applyBorder="0" applyAlignment="0" applyProtection="0"/>
    <xf numFmtId="0" fontId="136" fillId="4" borderId="0" applyNumberFormat="0" applyBorder="0" applyAlignment="0" applyProtection="0"/>
    <xf numFmtId="0" fontId="136" fillId="10" borderId="0" applyNumberFormat="0" applyBorder="0" applyAlignment="0" applyProtection="0"/>
    <xf numFmtId="0" fontId="136" fillId="5" borderId="0" applyNumberFormat="0" applyBorder="0" applyAlignment="0" applyProtection="0"/>
    <xf numFmtId="0" fontId="136" fillId="11" borderId="0" applyNumberFormat="0" applyBorder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5" fillId="0" borderId="0"/>
    <xf numFmtId="0" fontId="135" fillId="32" borderId="15" applyNumberFormat="0" applyFont="0" applyAlignment="0" applyProtection="0"/>
    <xf numFmtId="0" fontId="135" fillId="2" borderId="0" applyNumberFormat="0" applyBorder="0" applyAlignment="0" applyProtection="0"/>
    <xf numFmtId="0" fontId="135" fillId="8" borderId="0" applyNumberFormat="0" applyBorder="0" applyAlignment="0" applyProtection="0"/>
    <xf numFmtId="0" fontId="135" fillId="3" borderId="0" applyNumberFormat="0" applyBorder="0" applyAlignment="0" applyProtection="0"/>
    <xf numFmtId="0" fontId="135" fillId="9" borderId="0" applyNumberFormat="0" applyBorder="0" applyAlignment="0" applyProtection="0"/>
    <xf numFmtId="0" fontId="135" fillId="4" borderId="0" applyNumberFormat="0" applyBorder="0" applyAlignment="0" applyProtection="0"/>
    <xf numFmtId="0" fontId="135" fillId="10" borderId="0" applyNumberFormat="0" applyBorder="0" applyAlignment="0" applyProtection="0"/>
    <xf numFmtId="0" fontId="135" fillId="5" borderId="0" applyNumberFormat="0" applyBorder="0" applyAlignment="0" applyProtection="0"/>
    <xf numFmtId="0" fontId="135" fillId="11" borderId="0" applyNumberFormat="0" applyBorder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4" fillId="0" borderId="0"/>
    <xf numFmtId="0" fontId="134" fillId="32" borderId="15" applyNumberFormat="0" applyFont="0" applyAlignment="0" applyProtection="0"/>
    <xf numFmtId="0" fontId="134" fillId="2" borderId="0" applyNumberFormat="0" applyBorder="0" applyAlignment="0" applyProtection="0"/>
    <xf numFmtId="0" fontId="134" fillId="8" borderId="0" applyNumberFormat="0" applyBorder="0" applyAlignment="0" applyProtection="0"/>
    <xf numFmtId="0" fontId="134" fillId="3" borderId="0" applyNumberFormat="0" applyBorder="0" applyAlignment="0" applyProtection="0"/>
    <xf numFmtId="0" fontId="134" fillId="9" borderId="0" applyNumberFormat="0" applyBorder="0" applyAlignment="0" applyProtection="0"/>
    <xf numFmtId="0" fontId="134" fillId="4" borderId="0" applyNumberFormat="0" applyBorder="0" applyAlignment="0" applyProtection="0"/>
    <xf numFmtId="0" fontId="134" fillId="10" borderId="0" applyNumberFormat="0" applyBorder="0" applyAlignment="0" applyProtection="0"/>
    <xf numFmtId="0" fontId="134" fillId="5" borderId="0" applyNumberFormat="0" applyBorder="0" applyAlignment="0" applyProtection="0"/>
    <xf numFmtId="0" fontId="134" fillId="11" borderId="0" applyNumberFormat="0" applyBorder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3" fillId="0" borderId="0"/>
    <xf numFmtId="0" fontId="133" fillId="32" borderId="15" applyNumberFormat="0" applyFont="0" applyAlignment="0" applyProtection="0"/>
    <xf numFmtId="0" fontId="133" fillId="2" borderId="0" applyNumberFormat="0" applyBorder="0" applyAlignment="0" applyProtection="0"/>
    <xf numFmtId="0" fontId="133" fillId="8" borderId="0" applyNumberFormat="0" applyBorder="0" applyAlignment="0" applyProtection="0"/>
    <xf numFmtId="0" fontId="133" fillId="3" borderId="0" applyNumberFormat="0" applyBorder="0" applyAlignment="0" applyProtection="0"/>
    <xf numFmtId="0" fontId="133" fillId="9" borderId="0" applyNumberFormat="0" applyBorder="0" applyAlignment="0" applyProtection="0"/>
    <xf numFmtId="0" fontId="133" fillId="4" borderId="0" applyNumberFormat="0" applyBorder="0" applyAlignment="0" applyProtection="0"/>
    <xf numFmtId="0" fontId="133" fillId="10" borderId="0" applyNumberFormat="0" applyBorder="0" applyAlignment="0" applyProtection="0"/>
    <xf numFmtId="0" fontId="133" fillId="5" borderId="0" applyNumberFormat="0" applyBorder="0" applyAlignment="0" applyProtection="0"/>
    <xf numFmtId="0" fontId="133" fillId="11" borderId="0" applyNumberFormat="0" applyBorder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2" fillId="0" borderId="0"/>
    <xf numFmtId="0" fontId="132" fillId="32" borderId="15" applyNumberFormat="0" applyFont="0" applyAlignment="0" applyProtection="0"/>
    <xf numFmtId="0" fontId="132" fillId="2" borderId="0" applyNumberFormat="0" applyBorder="0" applyAlignment="0" applyProtection="0"/>
    <xf numFmtId="0" fontId="132" fillId="8" borderId="0" applyNumberFormat="0" applyBorder="0" applyAlignment="0" applyProtection="0"/>
    <xf numFmtId="0" fontId="132" fillId="3" borderId="0" applyNumberFormat="0" applyBorder="0" applyAlignment="0" applyProtection="0"/>
    <xf numFmtId="0" fontId="132" fillId="9" borderId="0" applyNumberFormat="0" applyBorder="0" applyAlignment="0" applyProtection="0"/>
    <xf numFmtId="0" fontId="132" fillId="4" borderId="0" applyNumberFormat="0" applyBorder="0" applyAlignment="0" applyProtection="0"/>
    <xf numFmtId="0" fontId="132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11" borderId="0" applyNumberFormat="0" applyBorder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1" fillId="0" borderId="0"/>
    <xf numFmtId="0" fontId="131" fillId="32" borderId="15" applyNumberFormat="0" applyFont="0" applyAlignment="0" applyProtection="0"/>
    <xf numFmtId="0" fontId="131" fillId="2" borderId="0" applyNumberFormat="0" applyBorder="0" applyAlignment="0" applyProtection="0"/>
    <xf numFmtId="0" fontId="131" fillId="8" borderId="0" applyNumberFormat="0" applyBorder="0" applyAlignment="0" applyProtection="0"/>
    <xf numFmtId="0" fontId="131" fillId="3" borderId="0" applyNumberFormat="0" applyBorder="0" applyAlignment="0" applyProtection="0"/>
    <xf numFmtId="0" fontId="131" fillId="9" borderId="0" applyNumberFormat="0" applyBorder="0" applyAlignment="0" applyProtection="0"/>
    <xf numFmtId="0" fontId="131" fillId="4" borderId="0" applyNumberFormat="0" applyBorder="0" applyAlignment="0" applyProtection="0"/>
    <xf numFmtId="0" fontId="131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11" borderId="0" applyNumberFormat="0" applyBorder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0" fillId="0" borderId="0"/>
    <xf numFmtId="0" fontId="130" fillId="32" borderId="15" applyNumberFormat="0" applyFont="0" applyAlignment="0" applyProtection="0"/>
    <xf numFmtId="0" fontId="130" fillId="2" borderId="0" applyNumberFormat="0" applyBorder="0" applyAlignment="0" applyProtection="0"/>
    <xf numFmtId="0" fontId="130" fillId="8" borderId="0" applyNumberFormat="0" applyBorder="0" applyAlignment="0" applyProtection="0"/>
    <xf numFmtId="0" fontId="130" fillId="3" borderId="0" applyNumberFormat="0" applyBorder="0" applyAlignment="0" applyProtection="0"/>
    <xf numFmtId="0" fontId="130" fillId="9" borderId="0" applyNumberFormat="0" applyBorder="0" applyAlignment="0" applyProtection="0"/>
    <xf numFmtId="0" fontId="130" fillId="4" borderId="0" applyNumberFormat="0" applyBorder="0" applyAlignment="0" applyProtection="0"/>
    <xf numFmtId="0" fontId="130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11" borderId="0" applyNumberFormat="0" applyBorder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29" fillId="0" borderId="0"/>
    <xf numFmtId="0" fontId="129" fillId="32" borderId="15" applyNumberFormat="0" applyFont="0" applyAlignment="0" applyProtection="0"/>
    <xf numFmtId="0" fontId="129" fillId="2" borderId="0" applyNumberFormat="0" applyBorder="0" applyAlignment="0" applyProtection="0"/>
    <xf numFmtId="0" fontId="129" fillId="8" borderId="0" applyNumberFormat="0" applyBorder="0" applyAlignment="0" applyProtection="0"/>
    <xf numFmtId="0" fontId="129" fillId="3" borderId="0" applyNumberFormat="0" applyBorder="0" applyAlignment="0" applyProtection="0"/>
    <xf numFmtId="0" fontId="129" fillId="9" borderId="0" applyNumberFormat="0" applyBorder="0" applyAlignment="0" applyProtection="0"/>
    <xf numFmtId="0" fontId="129" fillId="4" borderId="0" applyNumberFormat="0" applyBorder="0" applyAlignment="0" applyProtection="0"/>
    <xf numFmtId="0" fontId="129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11" borderId="0" applyNumberFormat="0" applyBorder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43" fontId="182" fillId="0" borderId="0" applyFont="0" applyFill="0" applyBorder="0" applyAlignment="0" applyProtection="0"/>
    <xf numFmtId="0" fontId="128" fillId="0" borderId="0"/>
    <xf numFmtId="0" fontId="128" fillId="32" borderId="15" applyNumberFormat="0" applyFont="0" applyAlignment="0" applyProtection="0"/>
    <xf numFmtId="0" fontId="128" fillId="2" borderId="0" applyNumberFormat="0" applyBorder="0" applyAlignment="0" applyProtection="0"/>
    <xf numFmtId="0" fontId="128" fillId="8" borderId="0" applyNumberFormat="0" applyBorder="0" applyAlignment="0" applyProtection="0"/>
    <xf numFmtId="0" fontId="128" fillId="3" borderId="0" applyNumberFormat="0" applyBorder="0" applyAlignment="0" applyProtection="0"/>
    <xf numFmtId="0" fontId="128" fillId="9" borderId="0" applyNumberFormat="0" applyBorder="0" applyAlignment="0" applyProtection="0"/>
    <xf numFmtId="0" fontId="128" fillId="4" borderId="0" applyNumberFormat="0" applyBorder="0" applyAlignment="0" applyProtection="0"/>
    <xf numFmtId="0" fontId="128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11" borderId="0" applyNumberFormat="0" applyBorder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7" fillId="0" borderId="0"/>
    <xf numFmtId="0" fontId="127" fillId="32" borderId="15" applyNumberFormat="0" applyFont="0" applyAlignment="0" applyProtection="0"/>
    <xf numFmtId="0" fontId="127" fillId="2" borderId="0" applyNumberFormat="0" applyBorder="0" applyAlignment="0" applyProtection="0"/>
    <xf numFmtId="0" fontId="127" fillId="8" borderId="0" applyNumberFormat="0" applyBorder="0" applyAlignment="0" applyProtection="0"/>
    <xf numFmtId="0" fontId="127" fillId="3" borderId="0" applyNumberFormat="0" applyBorder="0" applyAlignment="0" applyProtection="0"/>
    <xf numFmtId="0" fontId="127" fillId="9" borderId="0" applyNumberFormat="0" applyBorder="0" applyAlignment="0" applyProtection="0"/>
    <xf numFmtId="0" fontId="127" fillId="4" borderId="0" applyNumberFormat="0" applyBorder="0" applyAlignment="0" applyProtection="0"/>
    <xf numFmtId="0" fontId="127" fillId="10" borderId="0" applyNumberFormat="0" applyBorder="0" applyAlignment="0" applyProtection="0"/>
    <xf numFmtId="0" fontId="127" fillId="5" borderId="0" applyNumberFormat="0" applyBorder="0" applyAlignment="0" applyProtection="0"/>
    <xf numFmtId="0" fontId="127" fillId="11" borderId="0" applyNumberFormat="0" applyBorder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6" fillId="0" borderId="0"/>
    <xf numFmtId="0" fontId="126" fillId="32" borderId="15" applyNumberFormat="0" applyFont="0" applyAlignment="0" applyProtection="0"/>
    <xf numFmtId="0" fontId="126" fillId="2" borderId="0" applyNumberFormat="0" applyBorder="0" applyAlignment="0" applyProtection="0"/>
    <xf numFmtId="0" fontId="126" fillId="8" borderId="0" applyNumberFormat="0" applyBorder="0" applyAlignment="0" applyProtection="0"/>
    <xf numFmtId="0" fontId="126" fillId="3" borderId="0" applyNumberFormat="0" applyBorder="0" applyAlignment="0" applyProtection="0"/>
    <xf numFmtId="0" fontId="126" fillId="9" borderId="0" applyNumberFormat="0" applyBorder="0" applyAlignment="0" applyProtection="0"/>
    <xf numFmtId="0" fontId="126" fillId="4" borderId="0" applyNumberFormat="0" applyBorder="0" applyAlignment="0" applyProtection="0"/>
    <xf numFmtId="0" fontId="126" fillId="10" borderId="0" applyNumberFormat="0" applyBorder="0" applyAlignment="0" applyProtection="0"/>
    <xf numFmtId="0" fontId="126" fillId="5" borderId="0" applyNumberFormat="0" applyBorder="0" applyAlignment="0" applyProtection="0"/>
    <xf numFmtId="0" fontId="126" fillId="11" borderId="0" applyNumberFormat="0" applyBorder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5" fillId="0" borderId="0"/>
    <xf numFmtId="0" fontId="125" fillId="32" borderId="15" applyNumberFormat="0" applyFont="0" applyAlignment="0" applyProtection="0"/>
    <xf numFmtId="0" fontId="125" fillId="2" borderId="0" applyNumberFormat="0" applyBorder="0" applyAlignment="0" applyProtection="0"/>
    <xf numFmtId="0" fontId="125" fillId="8" borderId="0" applyNumberFormat="0" applyBorder="0" applyAlignment="0" applyProtection="0"/>
    <xf numFmtId="0" fontId="125" fillId="3" borderId="0" applyNumberFormat="0" applyBorder="0" applyAlignment="0" applyProtection="0"/>
    <xf numFmtId="0" fontId="125" fillId="9" borderId="0" applyNumberFormat="0" applyBorder="0" applyAlignment="0" applyProtection="0"/>
    <xf numFmtId="0" fontId="125" fillId="4" borderId="0" applyNumberFormat="0" applyBorder="0" applyAlignment="0" applyProtection="0"/>
    <xf numFmtId="0" fontId="125" fillId="10" borderId="0" applyNumberFormat="0" applyBorder="0" applyAlignment="0" applyProtection="0"/>
    <xf numFmtId="0" fontId="125" fillId="5" borderId="0" applyNumberFormat="0" applyBorder="0" applyAlignment="0" applyProtection="0"/>
    <xf numFmtId="0" fontId="125" fillId="11" borderId="0" applyNumberFormat="0" applyBorder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4" fillId="0" borderId="0"/>
    <xf numFmtId="0" fontId="124" fillId="32" borderId="15" applyNumberFormat="0" applyFont="0" applyAlignment="0" applyProtection="0"/>
    <xf numFmtId="0" fontId="124" fillId="2" borderId="0" applyNumberFormat="0" applyBorder="0" applyAlignment="0" applyProtection="0"/>
    <xf numFmtId="0" fontId="124" fillId="8" borderId="0" applyNumberFormat="0" applyBorder="0" applyAlignment="0" applyProtection="0"/>
    <xf numFmtId="0" fontId="124" fillId="3" borderId="0" applyNumberFormat="0" applyBorder="0" applyAlignment="0" applyProtection="0"/>
    <xf numFmtId="0" fontId="124" fillId="9" borderId="0" applyNumberFormat="0" applyBorder="0" applyAlignment="0" applyProtection="0"/>
    <xf numFmtId="0" fontId="124" fillId="4" borderId="0" applyNumberFormat="0" applyBorder="0" applyAlignment="0" applyProtection="0"/>
    <xf numFmtId="0" fontId="124" fillId="10" borderId="0" applyNumberFormat="0" applyBorder="0" applyAlignment="0" applyProtection="0"/>
    <xf numFmtId="0" fontId="124" fillId="5" borderId="0" applyNumberFormat="0" applyBorder="0" applyAlignment="0" applyProtection="0"/>
    <xf numFmtId="0" fontId="124" fillId="11" borderId="0" applyNumberFormat="0" applyBorder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3" fillId="0" borderId="0"/>
    <xf numFmtId="0" fontId="123" fillId="32" borderId="15" applyNumberFormat="0" applyFont="0" applyAlignment="0" applyProtection="0"/>
    <xf numFmtId="0" fontId="123" fillId="2" borderId="0" applyNumberFormat="0" applyBorder="0" applyAlignment="0" applyProtection="0"/>
    <xf numFmtId="0" fontId="123" fillId="8" borderId="0" applyNumberFormat="0" applyBorder="0" applyAlignment="0" applyProtection="0"/>
    <xf numFmtId="0" fontId="123" fillId="3" borderId="0" applyNumberFormat="0" applyBorder="0" applyAlignment="0" applyProtection="0"/>
    <xf numFmtId="0" fontId="123" fillId="9" borderId="0" applyNumberFormat="0" applyBorder="0" applyAlignment="0" applyProtection="0"/>
    <xf numFmtId="0" fontId="123" fillId="4" borderId="0" applyNumberFormat="0" applyBorder="0" applyAlignment="0" applyProtection="0"/>
    <xf numFmtId="0" fontId="123" fillId="10" borderId="0" applyNumberFormat="0" applyBorder="0" applyAlignment="0" applyProtection="0"/>
    <xf numFmtId="0" fontId="123" fillId="5" borderId="0" applyNumberFormat="0" applyBorder="0" applyAlignment="0" applyProtection="0"/>
    <xf numFmtId="0" fontId="123" fillId="11" borderId="0" applyNumberFormat="0" applyBorder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2" fillId="0" borderId="0"/>
    <xf numFmtId="0" fontId="122" fillId="32" borderId="15" applyNumberFormat="0" applyFont="0" applyAlignment="0" applyProtection="0"/>
    <xf numFmtId="0" fontId="122" fillId="2" borderId="0" applyNumberFormat="0" applyBorder="0" applyAlignment="0" applyProtection="0"/>
    <xf numFmtId="0" fontId="122" fillId="8" borderId="0" applyNumberFormat="0" applyBorder="0" applyAlignment="0" applyProtection="0"/>
    <xf numFmtId="0" fontId="122" fillId="3" borderId="0" applyNumberFormat="0" applyBorder="0" applyAlignment="0" applyProtection="0"/>
    <xf numFmtId="0" fontId="122" fillId="9" borderId="0" applyNumberFormat="0" applyBorder="0" applyAlignment="0" applyProtection="0"/>
    <xf numFmtId="0" fontId="122" fillId="4" borderId="0" applyNumberFormat="0" applyBorder="0" applyAlignment="0" applyProtection="0"/>
    <xf numFmtId="0" fontId="122" fillId="10" borderId="0" applyNumberFormat="0" applyBorder="0" applyAlignment="0" applyProtection="0"/>
    <xf numFmtId="0" fontId="122" fillId="5" borderId="0" applyNumberFormat="0" applyBorder="0" applyAlignment="0" applyProtection="0"/>
    <xf numFmtId="0" fontId="122" fillId="11" borderId="0" applyNumberFormat="0" applyBorder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1" fillId="0" borderId="0"/>
    <xf numFmtId="0" fontId="121" fillId="32" borderId="15" applyNumberFormat="0" applyFont="0" applyAlignment="0" applyProtection="0"/>
    <xf numFmtId="0" fontId="121" fillId="2" borderId="0" applyNumberFormat="0" applyBorder="0" applyAlignment="0" applyProtection="0"/>
    <xf numFmtId="0" fontId="121" fillId="8" borderId="0" applyNumberFormat="0" applyBorder="0" applyAlignment="0" applyProtection="0"/>
    <xf numFmtId="0" fontId="121" fillId="3" borderId="0" applyNumberFormat="0" applyBorder="0" applyAlignment="0" applyProtection="0"/>
    <xf numFmtId="0" fontId="121" fillId="9" borderId="0" applyNumberFormat="0" applyBorder="0" applyAlignment="0" applyProtection="0"/>
    <xf numFmtId="0" fontId="121" fillId="4" borderId="0" applyNumberFormat="0" applyBorder="0" applyAlignment="0" applyProtection="0"/>
    <xf numFmtId="0" fontId="121" fillId="10" borderId="0" applyNumberFormat="0" applyBorder="0" applyAlignment="0" applyProtection="0"/>
    <xf numFmtId="0" fontId="121" fillId="5" borderId="0" applyNumberFormat="0" applyBorder="0" applyAlignment="0" applyProtection="0"/>
    <xf numFmtId="0" fontId="121" fillId="11" borderId="0" applyNumberFormat="0" applyBorder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0" fillId="0" borderId="0"/>
    <xf numFmtId="0" fontId="120" fillId="32" borderId="15" applyNumberFormat="0" applyFont="0" applyAlignment="0" applyProtection="0"/>
    <xf numFmtId="0" fontId="120" fillId="2" borderId="0" applyNumberFormat="0" applyBorder="0" applyAlignment="0" applyProtection="0"/>
    <xf numFmtId="0" fontId="120" fillId="8" borderId="0" applyNumberFormat="0" applyBorder="0" applyAlignment="0" applyProtection="0"/>
    <xf numFmtId="0" fontId="120" fillId="3" borderId="0" applyNumberFormat="0" applyBorder="0" applyAlignment="0" applyProtection="0"/>
    <xf numFmtId="0" fontId="120" fillId="9" borderId="0" applyNumberFormat="0" applyBorder="0" applyAlignment="0" applyProtection="0"/>
    <xf numFmtId="0" fontId="120" fillId="4" borderId="0" applyNumberFormat="0" applyBorder="0" applyAlignment="0" applyProtection="0"/>
    <xf numFmtId="0" fontId="120" fillId="10" borderId="0" applyNumberFormat="0" applyBorder="0" applyAlignment="0" applyProtection="0"/>
    <xf numFmtId="0" fontId="120" fillId="5" borderId="0" applyNumberFormat="0" applyBorder="0" applyAlignment="0" applyProtection="0"/>
    <xf numFmtId="0" fontId="120" fillId="11" borderId="0" applyNumberFormat="0" applyBorder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19" fillId="0" borderId="0"/>
    <xf numFmtId="0" fontId="119" fillId="32" borderId="15" applyNumberFormat="0" applyFont="0" applyAlignment="0" applyProtection="0"/>
    <xf numFmtId="0" fontId="119" fillId="2" borderId="0" applyNumberFormat="0" applyBorder="0" applyAlignment="0" applyProtection="0"/>
    <xf numFmtId="0" fontId="119" fillId="8" borderId="0" applyNumberFormat="0" applyBorder="0" applyAlignment="0" applyProtection="0"/>
    <xf numFmtId="0" fontId="119" fillId="3" borderId="0" applyNumberFormat="0" applyBorder="0" applyAlignment="0" applyProtection="0"/>
    <xf numFmtId="0" fontId="119" fillId="9" borderId="0" applyNumberFormat="0" applyBorder="0" applyAlignment="0" applyProtection="0"/>
    <xf numFmtId="0" fontId="119" fillId="4" borderId="0" applyNumberFormat="0" applyBorder="0" applyAlignment="0" applyProtection="0"/>
    <xf numFmtId="0" fontId="119" fillId="10" borderId="0" applyNumberFormat="0" applyBorder="0" applyAlignment="0" applyProtection="0"/>
    <xf numFmtId="0" fontId="119" fillId="5" borderId="0" applyNumberFormat="0" applyBorder="0" applyAlignment="0" applyProtection="0"/>
    <xf numFmtId="0" fontId="119" fillId="11" borderId="0" applyNumberFormat="0" applyBorder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8" fillId="0" borderId="0"/>
    <xf numFmtId="0" fontId="118" fillId="32" borderId="15" applyNumberFormat="0" applyFont="0" applyAlignment="0" applyProtection="0"/>
    <xf numFmtId="0" fontId="118" fillId="2" borderId="0" applyNumberFormat="0" applyBorder="0" applyAlignment="0" applyProtection="0"/>
    <xf numFmtId="0" fontId="118" fillId="8" borderId="0" applyNumberFormat="0" applyBorder="0" applyAlignment="0" applyProtection="0"/>
    <xf numFmtId="0" fontId="118" fillId="3" borderId="0" applyNumberFormat="0" applyBorder="0" applyAlignment="0" applyProtection="0"/>
    <xf numFmtId="0" fontId="118" fillId="9" borderId="0" applyNumberFormat="0" applyBorder="0" applyAlignment="0" applyProtection="0"/>
    <xf numFmtId="0" fontId="118" fillId="4" borderId="0" applyNumberFormat="0" applyBorder="0" applyAlignment="0" applyProtection="0"/>
    <xf numFmtId="0" fontId="118" fillId="10" borderId="0" applyNumberFormat="0" applyBorder="0" applyAlignment="0" applyProtection="0"/>
    <xf numFmtId="0" fontId="118" fillId="5" borderId="0" applyNumberFormat="0" applyBorder="0" applyAlignment="0" applyProtection="0"/>
    <xf numFmtId="0" fontId="118" fillId="11" borderId="0" applyNumberFormat="0" applyBorder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7" fillId="0" borderId="0"/>
    <xf numFmtId="0" fontId="117" fillId="32" borderId="15" applyNumberFormat="0" applyFont="0" applyAlignment="0" applyProtection="0"/>
    <xf numFmtId="0" fontId="117" fillId="2" borderId="0" applyNumberFormat="0" applyBorder="0" applyAlignment="0" applyProtection="0"/>
    <xf numFmtId="0" fontId="117" fillId="8" borderId="0" applyNumberFormat="0" applyBorder="0" applyAlignment="0" applyProtection="0"/>
    <xf numFmtId="0" fontId="117" fillId="3" borderId="0" applyNumberFormat="0" applyBorder="0" applyAlignment="0" applyProtection="0"/>
    <xf numFmtId="0" fontId="117" fillId="9" borderId="0" applyNumberFormat="0" applyBorder="0" applyAlignment="0" applyProtection="0"/>
    <xf numFmtId="0" fontId="117" fillId="4" borderId="0" applyNumberFormat="0" applyBorder="0" applyAlignment="0" applyProtection="0"/>
    <xf numFmtId="0" fontId="117" fillId="10" borderId="0" applyNumberFormat="0" applyBorder="0" applyAlignment="0" applyProtection="0"/>
    <xf numFmtId="0" fontId="117" fillId="5" borderId="0" applyNumberFormat="0" applyBorder="0" applyAlignment="0" applyProtection="0"/>
    <xf numFmtId="0" fontId="117" fillId="11" borderId="0" applyNumberFormat="0" applyBorder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6" fillId="0" borderId="0"/>
    <xf numFmtId="0" fontId="116" fillId="32" borderId="15" applyNumberFormat="0" applyFont="0" applyAlignment="0" applyProtection="0"/>
    <xf numFmtId="0" fontId="116" fillId="2" borderId="0" applyNumberFormat="0" applyBorder="0" applyAlignment="0" applyProtection="0"/>
    <xf numFmtId="0" fontId="116" fillId="8" borderId="0" applyNumberFormat="0" applyBorder="0" applyAlignment="0" applyProtection="0"/>
    <xf numFmtId="0" fontId="116" fillId="3" borderId="0" applyNumberFormat="0" applyBorder="0" applyAlignment="0" applyProtection="0"/>
    <xf numFmtId="0" fontId="116" fillId="9" borderId="0" applyNumberFormat="0" applyBorder="0" applyAlignment="0" applyProtection="0"/>
    <xf numFmtId="0" fontId="116" fillId="4" borderId="0" applyNumberFormat="0" applyBorder="0" applyAlignment="0" applyProtection="0"/>
    <xf numFmtId="0" fontId="116" fillId="10" borderId="0" applyNumberFormat="0" applyBorder="0" applyAlignment="0" applyProtection="0"/>
    <xf numFmtId="0" fontId="116" fillId="5" borderId="0" applyNumberFormat="0" applyBorder="0" applyAlignment="0" applyProtection="0"/>
    <xf numFmtId="0" fontId="116" fillId="11" borderId="0" applyNumberFormat="0" applyBorder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5" fillId="0" borderId="0"/>
    <xf numFmtId="0" fontId="115" fillId="32" borderId="15" applyNumberFormat="0" applyFont="0" applyAlignment="0" applyProtection="0"/>
    <xf numFmtId="0" fontId="115" fillId="2" borderId="0" applyNumberFormat="0" applyBorder="0" applyAlignment="0" applyProtection="0"/>
    <xf numFmtId="0" fontId="115" fillId="8" borderId="0" applyNumberFormat="0" applyBorder="0" applyAlignment="0" applyProtection="0"/>
    <xf numFmtId="0" fontId="115" fillId="3" borderId="0" applyNumberFormat="0" applyBorder="0" applyAlignment="0" applyProtection="0"/>
    <xf numFmtId="0" fontId="115" fillId="9" borderId="0" applyNumberFormat="0" applyBorder="0" applyAlignment="0" applyProtection="0"/>
    <xf numFmtId="0" fontId="115" fillId="4" borderId="0" applyNumberFormat="0" applyBorder="0" applyAlignment="0" applyProtection="0"/>
    <xf numFmtId="0" fontId="115" fillId="10" borderId="0" applyNumberFormat="0" applyBorder="0" applyAlignment="0" applyProtection="0"/>
    <xf numFmtId="0" fontId="115" fillId="5" borderId="0" applyNumberFormat="0" applyBorder="0" applyAlignment="0" applyProtection="0"/>
    <xf numFmtId="0" fontId="115" fillId="11" borderId="0" applyNumberFormat="0" applyBorder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4" fillId="2" borderId="0" applyNumberFormat="0" applyBorder="0" applyAlignment="0" applyProtection="0"/>
    <xf numFmtId="0" fontId="114" fillId="3" borderId="0" applyNumberFormat="0" applyBorder="0" applyAlignment="0" applyProtection="0"/>
    <xf numFmtId="0" fontId="114" fillId="4" borderId="0" applyNumberFormat="0" applyBorder="0" applyAlignment="0" applyProtection="0"/>
    <xf numFmtId="0" fontId="114" fillId="5" borderId="0" applyNumberFormat="0" applyBorder="0" applyAlignment="0" applyProtection="0"/>
    <xf numFmtId="0" fontId="114" fillId="6" borderId="0" applyNumberFormat="0" applyBorder="0" applyAlignment="0" applyProtection="0"/>
    <xf numFmtId="0" fontId="114" fillId="7" borderId="0" applyNumberFormat="0" applyBorder="0" applyAlignment="0" applyProtection="0"/>
    <xf numFmtId="0" fontId="114" fillId="8" borderId="0" applyNumberFormat="0" applyBorder="0" applyAlignment="0" applyProtection="0"/>
    <xf numFmtId="0" fontId="114" fillId="9" borderId="0" applyNumberFormat="0" applyBorder="0" applyAlignment="0" applyProtection="0"/>
    <xf numFmtId="0" fontId="114" fillId="10" borderId="0" applyNumberFormat="0" applyBorder="0" applyAlignment="0" applyProtection="0"/>
    <xf numFmtId="0" fontId="114" fillId="11" borderId="0" applyNumberFormat="0" applyBorder="0" applyAlignment="0" applyProtection="0"/>
    <xf numFmtId="0" fontId="114" fillId="12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43" fontId="148" fillId="0" borderId="0" applyFont="0" applyFill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0" borderId="0"/>
    <xf numFmtId="0" fontId="114" fillId="32" borderId="15" applyNumberFormat="0" applyFont="0" applyAlignment="0" applyProtection="0"/>
    <xf numFmtId="0" fontId="114" fillId="2" borderId="0" applyNumberFormat="0" applyBorder="0" applyAlignment="0" applyProtection="0"/>
    <xf numFmtId="0" fontId="114" fillId="8" borderId="0" applyNumberFormat="0" applyBorder="0" applyAlignment="0" applyProtection="0"/>
    <xf numFmtId="0" fontId="114" fillId="3" borderId="0" applyNumberFormat="0" applyBorder="0" applyAlignment="0" applyProtection="0"/>
    <xf numFmtId="0" fontId="114" fillId="9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114" fillId="5" borderId="0" applyNumberFormat="0" applyBorder="0" applyAlignment="0" applyProtection="0"/>
    <xf numFmtId="0" fontId="114" fillId="11" borderId="0" applyNumberFormat="0" applyBorder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3" fillId="0" borderId="0"/>
    <xf numFmtId="0" fontId="113" fillId="32" borderId="15" applyNumberFormat="0" applyFont="0" applyAlignment="0" applyProtection="0"/>
    <xf numFmtId="0" fontId="113" fillId="2" borderId="0" applyNumberFormat="0" applyBorder="0" applyAlignment="0" applyProtection="0"/>
    <xf numFmtId="0" fontId="113" fillId="8" borderId="0" applyNumberFormat="0" applyBorder="0" applyAlignment="0" applyProtection="0"/>
    <xf numFmtId="0" fontId="113" fillId="3" borderId="0" applyNumberFormat="0" applyBorder="0" applyAlignment="0" applyProtection="0"/>
    <xf numFmtId="0" fontId="113" fillId="9" borderId="0" applyNumberFormat="0" applyBorder="0" applyAlignment="0" applyProtection="0"/>
    <xf numFmtId="0" fontId="113" fillId="4" borderId="0" applyNumberFormat="0" applyBorder="0" applyAlignment="0" applyProtection="0"/>
    <xf numFmtId="0" fontId="113" fillId="10" borderId="0" applyNumberFormat="0" applyBorder="0" applyAlignment="0" applyProtection="0"/>
    <xf numFmtId="0" fontId="113" fillId="5" borderId="0" applyNumberFormat="0" applyBorder="0" applyAlignment="0" applyProtection="0"/>
    <xf numFmtId="0" fontId="113" fillId="11" borderId="0" applyNumberFormat="0" applyBorder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2" fillId="0" borderId="0"/>
    <xf numFmtId="0" fontId="112" fillId="32" borderId="15" applyNumberFormat="0" applyFont="0" applyAlignment="0" applyProtection="0"/>
    <xf numFmtId="0" fontId="112" fillId="2" borderId="0" applyNumberFormat="0" applyBorder="0" applyAlignment="0" applyProtection="0"/>
    <xf numFmtId="0" fontId="112" fillId="8" borderId="0" applyNumberFormat="0" applyBorder="0" applyAlignment="0" applyProtection="0"/>
    <xf numFmtId="0" fontId="112" fillId="3" borderId="0" applyNumberFormat="0" applyBorder="0" applyAlignment="0" applyProtection="0"/>
    <xf numFmtId="0" fontId="112" fillId="9" borderId="0" applyNumberFormat="0" applyBorder="0" applyAlignment="0" applyProtection="0"/>
    <xf numFmtId="0" fontId="112" fillId="4" borderId="0" applyNumberFormat="0" applyBorder="0" applyAlignment="0" applyProtection="0"/>
    <xf numFmtId="0" fontId="112" fillId="10" borderId="0" applyNumberFormat="0" applyBorder="0" applyAlignment="0" applyProtection="0"/>
    <xf numFmtId="0" fontId="112" fillId="5" borderId="0" applyNumberFormat="0" applyBorder="0" applyAlignment="0" applyProtection="0"/>
    <xf numFmtId="0" fontId="112" fillId="11" borderId="0" applyNumberFormat="0" applyBorder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1" fillId="0" borderId="0"/>
    <xf numFmtId="0" fontId="111" fillId="32" borderId="15" applyNumberFormat="0" applyFont="0" applyAlignment="0" applyProtection="0"/>
    <xf numFmtId="0" fontId="111" fillId="2" borderId="0" applyNumberFormat="0" applyBorder="0" applyAlignment="0" applyProtection="0"/>
    <xf numFmtId="0" fontId="111" fillId="8" borderId="0" applyNumberFormat="0" applyBorder="0" applyAlignment="0" applyProtection="0"/>
    <xf numFmtId="0" fontId="111" fillId="3" borderId="0" applyNumberFormat="0" applyBorder="0" applyAlignment="0" applyProtection="0"/>
    <xf numFmtId="0" fontId="111" fillId="9" borderId="0" applyNumberFormat="0" applyBorder="0" applyAlignment="0" applyProtection="0"/>
    <xf numFmtId="0" fontId="111" fillId="4" borderId="0" applyNumberFormat="0" applyBorder="0" applyAlignment="0" applyProtection="0"/>
    <xf numFmtId="0" fontId="111" fillId="10" borderId="0" applyNumberFormat="0" applyBorder="0" applyAlignment="0" applyProtection="0"/>
    <xf numFmtId="0" fontId="111" fillId="5" borderId="0" applyNumberFormat="0" applyBorder="0" applyAlignment="0" applyProtection="0"/>
    <xf numFmtId="0" fontId="111" fillId="11" borderId="0" applyNumberFormat="0" applyBorder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0" fillId="0" borderId="0"/>
    <xf numFmtId="0" fontId="110" fillId="32" borderId="15" applyNumberFormat="0" applyFont="0" applyAlignment="0" applyProtection="0"/>
    <xf numFmtId="0" fontId="110" fillId="2" borderId="0" applyNumberFormat="0" applyBorder="0" applyAlignment="0" applyProtection="0"/>
    <xf numFmtId="0" fontId="110" fillId="8" borderId="0" applyNumberFormat="0" applyBorder="0" applyAlignment="0" applyProtection="0"/>
    <xf numFmtId="0" fontId="110" fillId="3" borderId="0" applyNumberFormat="0" applyBorder="0" applyAlignment="0" applyProtection="0"/>
    <xf numFmtId="0" fontId="110" fillId="9" borderId="0" applyNumberFormat="0" applyBorder="0" applyAlignment="0" applyProtection="0"/>
    <xf numFmtId="0" fontId="110" fillId="4" borderId="0" applyNumberFormat="0" applyBorder="0" applyAlignment="0" applyProtection="0"/>
    <xf numFmtId="0" fontId="110" fillId="10" borderId="0" applyNumberFormat="0" applyBorder="0" applyAlignment="0" applyProtection="0"/>
    <xf numFmtId="0" fontId="110" fillId="5" borderId="0" applyNumberFormat="0" applyBorder="0" applyAlignment="0" applyProtection="0"/>
    <xf numFmtId="0" fontId="110" fillId="11" borderId="0" applyNumberFormat="0" applyBorder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09" fillId="0" borderId="0"/>
    <xf numFmtId="0" fontId="109" fillId="32" borderId="15" applyNumberFormat="0" applyFont="0" applyAlignment="0" applyProtection="0"/>
    <xf numFmtId="0" fontId="109" fillId="2" borderId="0" applyNumberFormat="0" applyBorder="0" applyAlignment="0" applyProtection="0"/>
    <xf numFmtId="0" fontId="109" fillId="8" borderId="0" applyNumberFormat="0" applyBorder="0" applyAlignment="0" applyProtection="0"/>
    <xf numFmtId="0" fontId="109" fillId="3" borderId="0" applyNumberFormat="0" applyBorder="0" applyAlignment="0" applyProtection="0"/>
    <xf numFmtId="0" fontId="109" fillId="9" borderId="0" applyNumberFormat="0" applyBorder="0" applyAlignment="0" applyProtection="0"/>
    <xf numFmtId="0" fontId="109" fillId="4" borderId="0" applyNumberFormat="0" applyBorder="0" applyAlignment="0" applyProtection="0"/>
    <xf numFmtId="0" fontId="109" fillId="10" borderId="0" applyNumberFormat="0" applyBorder="0" applyAlignment="0" applyProtection="0"/>
    <xf numFmtId="0" fontId="109" fillId="5" borderId="0" applyNumberFormat="0" applyBorder="0" applyAlignment="0" applyProtection="0"/>
    <xf numFmtId="0" fontId="109" fillId="11" borderId="0" applyNumberFormat="0" applyBorder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8" fillId="0" borderId="0"/>
    <xf numFmtId="0" fontId="108" fillId="32" borderId="15" applyNumberFormat="0" applyFont="0" applyAlignment="0" applyProtection="0"/>
    <xf numFmtId="0" fontId="108" fillId="2" borderId="0" applyNumberFormat="0" applyBorder="0" applyAlignment="0" applyProtection="0"/>
    <xf numFmtId="0" fontId="108" fillId="8" borderId="0" applyNumberFormat="0" applyBorder="0" applyAlignment="0" applyProtection="0"/>
    <xf numFmtId="0" fontId="108" fillId="3" borderId="0" applyNumberFormat="0" applyBorder="0" applyAlignment="0" applyProtection="0"/>
    <xf numFmtId="0" fontId="108" fillId="9" borderId="0" applyNumberFormat="0" applyBorder="0" applyAlignment="0" applyProtection="0"/>
    <xf numFmtId="0" fontId="108" fillId="4" borderId="0" applyNumberFormat="0" applyBorder="0" applyAlignment="0" applyProtection="0"/>
    <xf numFmtId="0" fontId="108" fillId="10" borderId="0" applyNumberFormat="0" applyBorder="0" applyAlignment="0" applyProtection="0"/>
    <xf numFmtId="0" fontId="108" fillId="5" borderId="0" applyNumberFormat="0" applyBorder="0" applyAlignment="0" applyProtection="0"/>
    <xf numFmtId="0" fontId="108" fillId="11" borderId="0" applyNumberFormat="0" applyBorder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7" fillId="0" borderId="0"/>
    <xf numFmtId="0" fontId="107" fillId="32" borderId="15" applyNumberFormat="0" applyFont="0" applyAlignment="0" applyProtection="0"/>
    <xf numFmtId="0" fontId="107" fillId="2" borderId="0" applyNumberFormat="0" applyBorder="0" applyAlignment="0" applyProtection="0"/>
    <xf numFmtId="0" fontId="107" fillId="8" borderId="0" applyNumberFormat="0" applyBorder="0" applyAlignment="0" applyProtection="0"/>
    <xf numFmtId="0" fontId="107" fillId="3" borderId="0" applyNumberFormat="0" applyBorder="0" applyAlignment="0" applyProtection="0"/>
    <xf numFmtId="0" fontId="107" fillId="9" borderId="0" applyNumberFormat="0" applyBorder="0" applyAlignment="0" applyProtection="0"/>
    <xf numFmtId="0" fontId="107" fillId="4" borderId="0" applyNumberFormat="0" applyBorder="0" applyAlignment="0" applyProtection="0"/>
    <xf numFmtId="0" fontId="107" fillId="10" borderId="0" applyNumberFormat="0" applyBorder="0" applyAlignment="0" applyProtection="0"/>
    <xf numFmtId="0" fontId="107" fillId="5" borderId="0" applyNumberFormat="0" applyBorder="0" applyAlignment="0" applyProtection="0"/>
    <xf numFmtId="0" fontId="107" fillId="11" borderId="0" applyNumberFormat="0" applyBorder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6" fillId="0" borderId="0"/>
    <xf numFmtId="0" fontId="106" fillId="32" borderId="15" applyNumberFormat="0" applyFont="0" applyAlignment="0" applyProtection="0"/>
    <xf numFmtId="0" fontId="106" fillId="2" borderId="0" applyNumberFormat="0" applyBorder="0" applyAlignment="0" applyProtection="0"/>
    <xf numFmtId="0" fontId="106" fillId="8" borderId="0" applyNumberFormat="0" applyBorder="0" applyAlignment="0" applyProtection="0"/>
    <xf numFmtId="0" fontId="106" fillId="3" borderId="0" applyNumberFormat="0" applyBorder="0" applyAlignment="0" applyProtection="0"/>
    <xf numFmtId="0" fontId="106" fillId="9" borderId="0" applyNumberFormat="0" applyBorder="0" applyAlignment="0" applyProtection="0"/>
    <xf numFmtId="0" fontId="106" fillId="4" borderId="0" applyNumberFormat="0" applyBorder="0" applyAlignment="0" applyProtection="0"/>
    <xf numFmtId="0" fontId="106" fillId="10" borderId="0" applyNumberFormat="0" applyBorder="0" applyAlignment="0" applyProtection="0"/>
    <xf numFmtId="0" fontId="106" fillId="5" borderId="0" applyNumberFormat="0" applyBorder="0" applyAlignment="0" applyProtection="0"/>
    <xf numFmtId="0" fontId="106" fillId="11" borderId="0" applyNumberFormat="0" applyBorder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5" fillId="0" borderId="0"/>
    <xf numFmtId="0" fontId="105" fillId="32" borderId="15" applyNumberFormat="0" applyFont="0" applyAlignment="0" applyProtection="0"/>
    <xf numFmtId="0" fontId="105" fillId="2" borderId="0" applyNumberFormat="0" applyBorder="0" applyAlignment="0" applyProtection="0"/>
    <xf numFmtId="0" fontId="105" fillId="8" borderId="0" applyNumberFormat="0" applyBorder="0" applyAlignment="0" applyProtection="0"/>
    <xf numFmtId="0" fontId="105" fillId="3" borderId="0" applyNumberFormat="0" applyBorder="0" applyAlignment="0" applyProtection="0"/>
    <xf numFmtId="0" fontId="105" fillId="9" borderId="0" applyNumberFormat="0" applyBorder="0" applyAlignment="0" applyProtection="0"/>
    <xf numFmtId="0" fontId="105" fillId="4" borderId="0" applyNumberFormat="0" applyBorder="0" applyAlignment="0" applyProtection="0"/>
    <xf numFmtId="0" fontId="105" fillId="10" borderId="0" applyNumberFormat="0" applyBorder="0" applyAlignment="0" applyProtection="0"/>
    <xf numFmtId="0" fontId="105" fillId="5" borderId="0" applyNumberFormat="0" applyBorder="0" applyAlignment="0" applyProtection="0"/>
    <xf numFmtId="0" fontId="105" fillId="11" borderId="0" applyNumberFormat="0" applyBorder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4" fillId="0" borderId="0"/>
    <xf numFmtId="0" fontId="104" fillId="32" borderId="15" applyNumberFormat="0" applyFont="0" applyAlignment="0" applyProtection="0"/>
    <xf numFmtId="0" fontId="104" fillId="2" borderId="0" applyNumberFormat="0" applyBorder="0" applyAlignment="0" applyProtection="0"/>
    <xf numFmtId="0" fontId="104" fillId="8" borderId="0" applyNumberFormat="0" applyBorder="0" applyAlignment="0" applyProtection="0"/>
    <xf numFmtId="0" fontId="104" fillId="3" borderId="0" applyNumberFormat="0" applyBorder="0" applyAlignment="0" applyProtection="0"/>
    <xf numFmtId="0" fontId="104" fillId="9" borderId="0" applyNumberFormat="0" applyBorder="0" applyAlignment="0" applyProtection="0"/>
    <xf numFmtId="0" fontId="104" fillId="4" borderId="0" applyNumberFormat="0" applyBorder="0" applyAlignment="0" applyProtection="0"/>
    <xf numFmtId="0" fontId="104" fillId="10" borderId="0" applyNumberFormat="0" applyBorder="0" applyAlignment="0" applyProtection="0"/>
    <xf numFmtId="0" fontId="104" fillId="5" borderId="0" applyNumberFormat="0" applyBorder="0" applyAlignment="0" applyProtection="0"/>
    <xf numFmtId="0" fontId="104" fillId="11" borderId="0" applyNumberFormat="0" applyBorder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3" fillId="0" borderId="0"/>
    <xf numFmtId="0" fontId="103" fillId="32" borderId="15" applyNumberFormat="0" applyFont="0" applyAlignment="0" applyProtection="0"/>
    <xf numFmtId="0" fontId="103" fillId="2" borderId="0" applyNumberFormat="0" applyBorder="0" applyAlignment="0" applyProtection="0"/>
    <xf numFmtId="0" fontId="103" fillId="8" borderId="0" applyNumberFormat="0" applyBorder="0" applyAlignment="0" applyProtection="0"/>
    <xf numFmtId="0" fontId="103" fillId="3" borderId="0" applyNumberFormat="0" applyBorder="0" applyAlignment="0" applyProtection="0"/>
    <xf numFmtId="0" fontId="103" fillId="9" borderId="0" applyNumberFormat="0" applyBorder="0" applyAlignment="0" applyProtection="0"/>
    <xf numFmtId="0" fontId="103" fillId="4" borderId="0" applyNumberFormat="0" applyBorder="0" applyAlignment="0" applyProtection="0"/>
    <xf numFmtId="0" fontId="103" fillId="10" borderId="0" applyNumberFormat="0" applyBorder="0" applyAlignment="0" applyProtection="0"/>
    <xf numFmtId="0" fontId="103" fillId="5" borderId="0" applyNumberFormat="0" applyBorder="0" applyAlignment="0" applyProtection="0"/>
    <xf numFmtId="0" fontId="103" fillId="11" borderId="0" applyNumberFormat="0" applyBorder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2" fillId="0" borderId="0"/>
    <xf numFmtId="0" fontId="102" fillId="32" borderId="15" applyNumberFormat="0" applyFont="0" applyAlignment="0" applyProtection="0"/>
    <xf numFmtId="0" fontId="102" fillId="2" borderId="0" applyNumberFormat="0" applyBorder="0" applyAlignment="0" applyProtection="0"/>
    <xf numFmtId="0" fontId="102" fillId="8" borderId="0" applyNumberFormat="0" applyBorder="0" applyAlignment="0" applyProtection="0"/>
    <xf numFmtId="0" fontId="102" fillId="3" borderId="0" applyNumberFormat="0" applyBorder="0" applyAlignment="0" applyProtection="0"/>
    <xf numFmtId="0" fontId="102" fillId="9" borderId="0" applyNumberFormat="0" applyBorder="0" applyAlignment="0" applyProtection="0"/>
    <xf numFmtId="0" fontId="102" fillId="4" borderId="0" applyNumberFormat="0" applyBorder="0" applyAlignment="0" applyProtection="0"/>
    <xf numFmtId="0" fontId="102" fillId="10" borderId="0" applyNumberFormat="0" applyBorder="0" applyAlignment="0" applyProtection="0"/>
    <xf numFmtId="0" fontId="102" fillId="5" borderId="0" applyNumberFormat="0" applyBorder="0" applyAlignment="0" applyProtection="0"/>
    <xf numFmtId="0" fontId="102" fillId="11" borderId="0" applyNumberFormat="0" applyBorder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1" fillId="0" borderId="0"/>
    <xf numFmtId="0" fontId="101" fillId="32" borderId="15" applyNumberFormat="0" applyFont="0" applyAlignment="0" applyProtection="0"/>
    <xf numFmtId="0" fontId="101" fillId="2" borderId="0" applyNumberFormat="0" applyBorder="0" applyAlignment="0" applyProtection="0"/>
    <xf numFmtId="0" fontId="101" fillId="8" borderId="0" applyNumberFormat="0" applyBorder="0" applyAlignment="0" applyProtection="0"/>
    <xf numFmtId="0" fontId="101" fillId="3" borderId="0" applyNumberFormat="0" applyBorder="0" applyAlignment="0" applyProtection="0"/>
    <xf numFmtId="0" fontId="101" fillId="9" borderId="0" applyNumberFormat="0" applyBorder="0" applyAlignment="0" applyProtection="0"/>
    <xf numFmtId="0" fontId="101" fillId="4" borderId="0" applyNumberFormat="0" applyBorder="0" applyAlignment="0" applyProtection="0"/>
    <xf numFmtId="0" fontId="101" fillId="10" borderId="0" applyNumberFormat="0" applyBorder="0" applyAlignment="0" applyProtection="0"/>
    <xf numFmtId="0" fontId="101" fillId="5" borderId="0" applyNumberFormat="0" applyBorder="0" applyAlignment="0" applyProtection="0"/>
    <xf numFmtId="0" fontId="101" fillId="11" borderId="0" applyNumberFormat="0" applyBorder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0" fillId="0" borderId="0"/>
    <xf numFmtId="0" fontId="100" fillId="32" borderId="15" applyNumberFormat="0" applyFont="0" applyAlignment="0" applyProtection="0"/>
    <xf numFmtId="0" fontId="100" fillId="2" borderId="0" applyNumberFormat="0" applyBorder="0" applyAlignment="0" applyProtection="0"/>
    <xf numFmtId="0" fontId="100" fillId="8" borderId="0" applyNumberFormat="0" applyBorder="0" applyAlignment="0" applyProtection="0"/>
    <xf numFmtId="0" fontId="100" fillId="3" borderId="0" applyNumberFormat="0" applyBorder="0" applyAlignment="0" applyProtection="0"/>
    <xf numFmtId="0" fontId="100" fillId="9" borderId="0" applyNumberFormat="0" applyBorder="0" applyAlignment="0" applyProtection="0"/>
    <xf numFmtId="0" fontId="100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5" borderId="0" applyNumberFormat="0" applyBorder="0" applyAlignment="0" applyProtection="0"/>
    <xf numFmtId="0" fontId="100" fillId="11" borderId="0" applyNumberFormat="0" applyBorder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99" fillId="0" borderId="0"/>
    <xf numFmtId="0" fontId="99" fillId="32" borderId="15" applyNumberFormat="0" applyFont="0" applyAlignment="0" applyProtection="0"/>
    <xf numFmtId="0" fontId="99" fillId="2" borderId="0" applyNumberFormat="0" applyBorder="0" applyAlignment="0" applyProtection="0"/>
    <xf numFmtId="0" fontId="99" fillId="8" borderId="0" applyNumberFormat="0" applyBorder="0" applyAlignment="0" applyProtection="0"/>
    <xf numFmtId="0" fontId="99" fillId="3" borderId="0" applyNumberFormat="0" applyBorder="0" applyAlignment="0" applyProtection="0"/>
    <xf numFmtId="0" fontId="99" fillId="9" borderId="0" applyNumberFormat="0" applyBorder="0" applyAlignment="0" applyProtection="0"/>
    <xf numFmtId="0" fontId="99" fillId="4" borderId="0" applyNumberFormat="0" applyBorder="0" applyAlignment="0" applyProtection="0"/>
    <xf numFmtId="0" fontId="99" fillId="10" borderId="0" applyNumberFormat="0" applyBorder="0" applyAlignment="0" applyProtection="0"/>
    <xf numFmtId="0" fontId="99" fillId="5" borderId="0" applyNumberFormat="0" applyBorder="0" applyAlignment="0" applyProtection="0"/>
    <xf numFmtId="0" fontId="99" fillId="11" borderId="0" applyNumberFormat="0" applyBorder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8" fillId="0" borderId="0"/>
    <xf numFmtId="0" fontId="98" fillId="32" borderId="15" applyNumberFormat="0" applyFont="0" applyAlignment="0" applyProtection="0"/>
    <xf numFmtId="0" fontId="98" fillId="2" borderId="0" applyNumberFormat="0" applyBorder="0" applyAlignment="0" applyProtection="0"/>
    <xf numFmtId="0" fontId="98" fillId="8" borderId="0" applyNumberFormat="0" applyBorder="0" applyAlignment="0" applyProtection="0"/>
    <xf numFmtId="0" fontId="98" fillId="3" borderId="0" applyNumberFormat="0" applyBorder="0" applyAlignment="0" applyProtection="0"/>
    <xf numFmtId="0" fontId="98" fillId="9" borderId="0" applyNumberFormat="0" applyBorder="0" applyAlignment="0" applyProtection="0"/>
    <xf numFmtId="0" fontId="98" fillId="4" borderId="0" applyNumberFormat="0" applyBorder="0" applyAlignment="0" applyProtection="0"/>
    <xf numFmtId="0" fontId="98" fillId="10" borderId="0" applyNumberFormat="0" applyBorder="0" applyAlignment="0" applyProtection="0"/>
    <xf numFmtId="0" fontId="98" fillId="5" borderId="0" applyNumberFormat="0" applyBorder="0" applyAlignment="0" applyProtection="0"/>
    <xf numFmtId="0" fontId="98" fillId="11" borderId="0" applyNumberFormat="0" applyBorder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7" fillId="0" borderId="0"/>
    <xf numFmtId="0" fontId="97" fillId="32" borderId="15" applyNumberFormat="0" applyFont="0" applyAlignment="0" applyProtection="0"/>
    <xf numFmtId="0" fontId="97" fillId="2" borderId="0" applyNumberFormat="0" applyBorder="0" applyAlignment="0" applyProtection="0"/>
    <xf numFmtId="0" fontId="97" fillId="8" borderId="0" applyNumberFormat="0" applyBorder="0" applyAlignment="0" applyProtection="0"/>
    <xf numFmtId="0" fontId="97" fillId="3" borderId="0" applyNumberFormat="0" applyBorder="0" applyAlignment="0" applyProtection="0"/>
    <xf numFmtId="0" fontId="97" fillId="9" borderId="0" applyNumberFormat="0" applyBorder="0" applyAlignment="0" applyProtection="0"/>
    <xf numFmtId="0" fontId="97" fillId="4" borderId="0" applyNumberFormat="0" applyBorder="0" applyAlignment="0" applyProtection="0"/>
    <xf numFmtId="0" fontId="97" fillId="10" borderId="0" applyNumberFormat="0" applyBorder="0" applyAlignment="0" applyProtection="0"/>
    <xf numFmtId="0" fontId="97" fillId="5" borderId="0" applyNumberFormat="0" applyBorder="0" applyAlignment="0" applyProtection="0"/>
    <xf numFmtId="0" fontId="97" fillId="11" borderId="0" applyNumberFormat="0" applyBorder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6" fillId="0" borderId="0"/>
    <xf numFmtId="0" fontId="96" fillId="32" borderId="15" applyNumberFormat="0" applyFont="0" applyAlignment="0" applyProtection="0"/>
    <xf numFmtId="0" fontId="96" fillId="2" borderId="0" applyNumberFormat="0" applyBorder="0" applyAlignment="0" applyProtection="0"/>
    <xf numFmtId="0" fontId="96" fillId="8" borderId="0" applyNumberFormat="0" applyBorder="0" applyAlignment="0" applyProtection="0"/>
    <xf numFmtId="0" fontId="96" fillId="3" borderId="0" applyNumberFormat="0" applyBorder="0" applyAlignment="0" applyProtection="0"/>
    <xf numFmtId="0" fontId="96" fillId="9" borderId="0" applyNumberFormat="0" applyBorder="0" applyAlignment="0" applyProtection="0"/>
    <xf numFmtId="0" fontId="96" fillId="4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11" borderId="0" applyNumberFormat="0" applyBorder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5" fillId="0" borderId="0"/>
    <xf numFmtId="0" fontId="95" fillId="32" borderId="15" applyNumberFormat="0" applyFont="0" applyAlignment="0" applyProtection="0"/>
    <xf numFmtId="0" fontId="95" fillId="2" borderId="0" applyNumberFormat="0" applyBorder="0" applyAlignment="0" applyProtection="0"/>
    <xf numFmtId="0" fontId="95" fillId="8" borderId="0" applyNumberFormat="0" applyBorder="0" applyAlignment="0" applyProtection="0"/>
    <xf numFmtId="0" fontId="95" fillId="3" borderId="0" applyNumberFormat="0" applyBorder="0" applyAlignment="0" applyProtection="0"/>
    <xf numFmtId="0" fontId="95" fillId="9" borderId="0" applyNumberFormat="0" applyBorder="0" applyAlignment="0" applyProtection="0"/>
    <xf numFmtId="0" fontId="95" fillId="4" borderId="0" applyNumberFormat="0" applyBorder="0" applyAlignment="0" applyProtection="0"/>
    <xf numFmtId="0" fontId="95" fillId="10" borderId="0" applyNumberFormat="0" applyBorder="0" applyAlignment="0" applyProtection="0"/>
    <xf numFmtId="0" fontId="95" fillId="5" borderId="0" applyNumberFormat="0" applyBorder="0" applyAlignment="0" applyProtection="0"/>
    <xf numFmtId="0" fontId="95" fillId="11" borderId="0" applyNumberFormat="0" applyBorder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4" fillId="0" borderId="0"/>
    <xf numFmtId="0" fontId="94" fillId="32" borderId="15" applyNumberFormat="0" applyFont="0" applyAlignment="0" applyProtection="0"/>
    <xf numFmtId="0" fontId="94" fillId="2" borderId="0" applyNumberFormat="0" applyBorder="0" applyAlignment="0" applyProtection="0"/>
    <xf numFmtId="0" fontId="94" fillId="8" borderId="0" applyNumberFormat="0" applyBorder="0" applyAlignment="0" applyProtection="0"/>
    <xf numFmtId="0" fontId="94" fillId="3" borderId="0" applyNumberFormat="0" applyBorder="0" applyAlignment="0" applyProtection="0"/>
    <xf numFmtId="0" fontId="94" fillId="9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11" borderId="0" applyNumberFormat="0" applyBorder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3" fillId="0" borderId="0"/>
    <xf numFmtId="0" fontId="93" fillId="32" borderId="15" applyNumberFormat="0" applyFont="0" applyAlignment="0" applyProtection="0"/>
    <xf numFmtId="0" fontId="93" fillId="2" borderId="0" applyNumberFormat="0" applyBorder="0" applyAlignment="0" applyProtection="0"/>
    <xf numFmtId="0" fontId="93" fillId="8" borderId="0" applyNumberFormat="0" applyBorder="0" applyAlignment="0" applyProtection="0"/>
    <xf numFmtId="0" fontId="93" fillId="3" borderId="0" applyNumberFormat="0" applyBorder="0" applyAlignment="0" applyProtection="0"/>
    <xf numFmtId="0" fontId="93" fillId="9" borderId="0" applyNumberFormat="0" applyBorder="0" applyAlignment="0" applyProtection="0"/>
    <xf numFmtId="0" fontId="93" fillId="4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11" borderId="0" applyNumberFormat="0" applyBorder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2" fillId="0" borderId="0"/>
    <xf numFmtId="0" fontId="92" fillId="32" borderId="15" applyNumberFormat="0" applyFont="0" applyAlignment="0" applyProtection="0"/>
    <xf numFmtId="0" fontId="92" fillId="2" borderId="0" applyNumberFormat="0" applyBorder="0" applyAlignment="0" applyProtection="0"/>
    <xf numFmtId="0" fontId="92" fillId="8" borderId="0" applyNumberFormat="0" applyBorder="0" applyAlignment="0" applyProtection="0"/>
    <xf numFmtId="0" fontId="92" fillId="3" borderId="0" applyNumberFormat="0" applyBorder="0" applyAlignment="0" applyProtection="0"/>
    <xf numFmtId="0" fontId="92" fillId="9" borderId="0" applyNumberFormat="0" applyBorder="0" applyAlignment="0" applyProtection="0"/>
    <xf numFmtId="0" fontId="92" fillId="4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11" borderId="0" applyNumberFormat="0" applyBorder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1" fillId="0" borderId="0"/>
    <xf numFmtId="0" fontId="91" fillId="32" borderId="15" applyNumberFormat="0" applyFont="0" applyAlignment="0" applyProtection="0"/>
    <xf numFmtId="0" fontId="91" fillId="2" borderId="0" applyNumberFormat="0" applyBorder="0" applyAlignment="0" applyProtection="0"/>
    <xf numFmtId="0" fontId="91" fillId="8" borderId="0" applyNumberFormat="0" applyBorder="0" applyAlignment="0" applyProtection="0"/>
    <xf numFmtId="0" fontId="91" fillId="3" borderId="0" applyNumberFormat="0" applyBorder="0" applyAlignment="0" applyProtection="0"/>
    <xf numFmtId="0" fontId="91" fillId="9" borderId="0" applyNumberFormat="0" applyBorder="0" applyAlignment="0" applyProtection="0"/>
    <xf numFmtId="0" fontId="91" fillId="4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11" borderId="0" applyNumberFormat="0" applyBorder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0" fillId="0" borderId="0"/>
    <xf numFmtId="0" fontId="90" fillId="32" borderId="15" applyNumberFormat="0" applyFont="0" applyAlignment="0" applyProtection="0"/>
    <xf numFmtId="0" fontId="90" fillId="2" borderId="0" applyNumberFormat="0" applyBorder="0" applyAlignment="0" applyProtection="0"/>
    <xf numFmtId="0" fontId="90" fillId="8" borderId="0" applyNumberFormat="0" applyBorder="0" applyAlignment="0" applyProtection="0"/>
    <xf numFmtId="0" fontId="90" fillId="3" borderId="0" applyNumberFormat="0" applyBorder="0" applyAlignment="0" applyProtection="0"/>
    <xf numFmtId="0" fontId="90" fillId="9" borderId="0" applyNumberFormat="0" applyBorder="0" applyAlignment="0" applyProtection="0"/>
    <xf numFmtId="0" fontId="90" fillId="4" borderId="0" applyNumberFormat="0" applyBorder="0" applyAlignment="0" applyProtection="0"/>
    <xf numFmtId="0" fontId="90" fillId="10" borderId="0" applyNumberFormat="0" applyBorder="0" applyAlignment="0" applyProtection="0"/>
    <xf numFmtId="0" fontId="90" fillId="5" borderId="0" applyNumberFormat="0" applyBorder="0" applyAlignment="0" applyProtection="0"/>
    <xf numFmtId="0" fontId="90" fillId="11" borderId="0" applyNumberFormat="0" applyBorder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89" fillId="0" borderId="0"/>
    <xf numFmtId="0" fontId="89" fillId="32" borderId="15" applyNumberFormat="0" applyFont="0" applyAlignment="0" applyProtection="0"/>
    <xf numFmtId="0" fontId="89" fillId="2" borderId="0" applyNumberFormat="0" applyBorder="0" applyAlignment="0" applyProtection="0"/>
    <xf numFmtId="0" fontId="89" fillId="8" borderId="0" applyNumberFormat="0" applyBorder="0" applyAlignment="0" applyProtection="0"/>
    <xf numFmtId="0" fontId="89" fillId="3" borderId="0" applyNumberFormat="0" applyBorder="0" applyAlignment="0" applyProtection="0"/>
    <xf numFmtId="0" fontId="89" fillId="9" borderId="0" applyNumberFormat="0" applyBorder="0" applyAlignment="0" applyProtection="0"/>
    <xf numFmtId="0" fontId="89" fillId="4" borderId="0" applyNumberFormat="0" applyBorder="0" applyAlignment="0" applyProtection="0"/>
    <xf numFmtId="0" fontId="89" fillId="10" borderId="0" applyNumberFormat="0" applyBorder="0" applyAlignment="0" applyProtection="0"/>
    <xf numFmtId="0" fontId="89" fillId="5" borderId="0" applyNumberFormat="0" applyBorder="0" applyAlignment="0" applyProtection="0"/>
    <xf numFmtId="0" fontId="89" fillId="11" borderId="0" applyNumberFormat="0" applyBorder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8" fillId="0" borderId="0"/>
    <xf numFmtId="0" fontId="88" fillId="32" borderId="15" applyNumberFormat="0" applyFont="0" applyAlignment="0" applyProtection="0"/>
    <xf numFmtId="0" fontId="88" fillId="2" borderId="0" applyNumberFormat="0" applyBorder="0" applyAlignment="0" applyProtection="0"/>
    <xf numFmtId="0" fontId="88" fillId="8" borderId="0" applyNumberFormat="0" applyBorder="0" applyAlignment="0" applyProtection="0"/>
    <xf numFmtId="0" fontId="88" fillId="3" borderId="0" applyNumberFormat="0" applyBorder="0" applyAlignment="0" applyProtection="0"/>
    <xf numFmtId="0" fontId="88" fillId="9" borderId="0" applyNumberFormat="0" applyBorder="0" applyAlignment="0" applyProtection="0"/>
    <xf numFmtId="0" fontId="88" fillId="4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11" borderId="0" applyNumberFormat="0" applyBorder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7" fillId="0" borderId="0"/>
    <xf numFmtId="0" fontId="87" fillId="32" borderId="15" applyNumberFormat="0" applyFont="0" applyAlignment="0" applyProtection="0"/>
    <xf numFmtId="0" fontId="87" fillId="2" borderId="0" applyNumberFormat="0" applyBorder="0" applyAlignment="0" applyProtection="0"/>
    <xf numFmtId="0" fontId="87" fillId="8" borderId="0" applyNumberFormat="0" applyBorder="0" applyAlignment="0" applyProtection="0"/>
    <xf numFmtId="0" fontId="87" fillId="3" borderId="0" applyNumberFormat="0" applyBorder="0" applyAlignment="0" applyProtection="0"/>
    <xf numFmtId="0" fontId="87" fillId="9" borderId="0" applyNumberFormat="0" applyBorder="0" applyAlignment="0" applyProtection="0"/>
    <xf numFmtId="0" fontId="87" fillId="4" borderId="0" applyNumberFormat="0" applyBorder="0" applyAlignment="0" applyProtection="0"/>
    <xf numFmtId="0" fontId="87" fillId="10" borderId="0" applyNumberFormat="0" applyBorder="0" applyAlignment="0" applyProtection="0"/>
    <xf numFmtId="0" fontId="87" fillId="5" borderId="0" applyNumberFormat="0" applyBorder="0" applyAlignment="0" applyProtection="0"/>
    <xf numFmtId="0" fontId="87" fillId="11" borderId="0" applyNumberFormat="0" applyBorder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6" fillId="0" borderId="0"/>
    <xf numFmtId="0" fontId="86" fillId="32" borderId="15" applyNumberFormat="0" applyFont="0" applyAlignment="0" applyProtection="0"/>
    <xf numFmtId="0" fontId="86" fillId="2" borderId="0" applyNumberFormat="0" applyBorder="0" applyAlignment="0" applyProtection="0"/>
    <xf numFmtId="0" fontId="86" fillId="8" borderId="0" applyNumberFormat="0" applyBorder="0" applyAlignment="0" applyProtection="0"/>
    <xf numFmtId="0" fontId="86" fillId="3" borderId="0" applyNumberFormat="0" applyBorder="0" applyAlignment="0" applyProtection="0"/>
    <xf numFmtId="0" fontId="86" fillId="9" borderId="0" applyNumberFormat="0" applyBorder="0" applyAlignment="0" applyProtection="0"/>
    <xf numFmtId="0" fontId="86" fillId="4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11" borderId="0" applyNumberFormat="0" applyBorder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5" fillId="0" borderId="0"/>
    <xf numFmtId="0" fontId="85" fillId="32" borderId="15" applyNumberFormat="0" applyFont="0" applyAlignment="0" applyProtection="0"/>
    <xf numFmtId="0" fontId="85" fillId="2" borderId="0" applyNumberFormat="0" applyBorder="0" applyAlignment="0" applyProtection="0"/>
    <xf numFmtId="0" fontId="85" fillId="8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4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4" fillId="0" borderId="0"/>
    <xf numFmtId="0" fontId="84" fillId="32" borderId="15" applyNumberFormat="0" applyFont="0" applyAlignment="0" applyProtection="0"/>
    <xf numFmtId="0" fontId="84" fillId="2" borderId="0" applyNumberFormat="0" applyBorder="0" applyAlignment="0" applyProtection="0"/>
    <xf numFmtId="0" fontId="84" fillId="8" borderId="0" applyNumberFormat="0" applyBorder="0" applyAlignment="0" applyProtection="0"/>
    <xf numFmtId="0" fontId="84" fillId="3" borderId="0" applyNumberFormat="0" applyBorder="0" applyAlignment="0" applyProtection="0"/>
    <xf numFmtId="0" fontId="84" fillId="9" borderId="0" applyNumberFormat="0" applyBorder="0" applyAlignment="0" applyProtection="0"/>
    <xf numFmtId="0" fontId="84" fillId="4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11" borderId="0" applyNumberFormat="0" applyBorder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3" fillId="0" borderId="0"/>
    <xf numFmtId="0" fontId="83" fillId="32" borderId="15" applyNumberFormat="0" applyFont="0" applyAlignment="0" applyProtection="0"/>
    <xf numFmtId="0" fontId="83" fillId="2" borderId="0" applyNumberFormat="0" applyBorder="0" applyAlignment="0" applyProtection="0"/>
    <xf numFmtId="0" fontId="83" fillId="8" borderId="0" applyNumberFormat="0" applyBorder="0" applyAlignment="0" applyProtection="0"/>
    <xf numFmtId="0" fontId="83" fillId="3" borderId="0" applyNumberFormat="0" applyBorder="0" applyAlignment="0" applyProtection="0"/>
    <xf numFmtId="0" fontId="83" fillId="9" borderId="0" applyNumberFormat="0" applyBorder="0" applyAlignment="0" applyProtection="0"/>
    <xf numFmtId="0" fontId="83" fillId="4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11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2" fillId="0" borderId="0"/>
    <xf numFmtId="0" fontId="82" fillId="32" borderId="15" applyNumberFormat="0" applyFont="0" applyAlignment="0" applyProtection="0"/>
    <xf numFmtId="0" fontId="82" fillId="2" borderId="0" applyNumberFormat="0" applyBorder="0" applyAlignment="0" applyProtection="0"/>
    <xf numFmtId="0" fontId="82" fillId="8" borderId="0" applyNumberFormat="0" applyBorder="0" applyAlignment="0" applyProtection="0"/>
    <xf numFmtId="0" fontId="82" fillId="3" borderId="0" applyNumberFormat="0" applyBorder="0" applyAlignment="0" applyProtection="0"/>
    <xf numFmtId="0" fontId="82" fillId="9" borderId="0" applyNumberFormat="0" applyBorder="0" applyAlignment="0" applyProtection="0"/>
    <xf numFmtId="0" fontId="82" fillId="4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11" borderId="0" applyNumberFormat="0" applyBorder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1" fillId="0" borderId="0"/>
    <xf numFmtId="0" fontId="81" fillId="32" borderId="15" applyNumberFormat="0" applyFont="0" applyAlignment="0" applyProtection="0"/>
    <xf numFmtId="0" fontId="81" fillId="2" borderId="0" applyNumberFormat="0" applyBorder="0" applyAlignment="0" applyProtection="0"/>
    <xf numFmtId="0" fontId="81" fillId="8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1" fillId="11" borderId="0" applyNumberFormat="0" applyBorder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0" fillId="0" borderId="0"/>
    <xf numFmtId="0" fontId="80" fillId="32" borderId="15" applyNumberFormat="0" applyFont="0" applyAlignment="0" applyProtection="0"/>
    <xf numFmtId="0" fontId="80" fillId="2" borderId="0" applyNumberFormat="0" applyBorder="0" applyAlignment="0" applyProtection="0"/>
    <xf numFmtId="0" fontId="80" fillId="8" borderId="0" applyNumberFormat="0" applyBorder="0" applyAlignment="0" applyProtection="0"/>
    <xf numFmtId="0" fontId="80" fillId="3" borderId="0" applyNumberFormat="0" applyBorder="0" applyAlignment="0" applyProtection="0"/>
    <xf numFmtId="0" fontId="80" fillId="9" borderId="0" applyNumberFormat="0" applyBorder="0" applyAlignment="0" applyProtection="0"/>
    <xf numFmtId="0" fontId="80" fillId="4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11" borderId="0" applyNumberFormat="0" applyBorder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79" fillId="0" borderId="0"/>
    <xf numFmtId="0" fontId="79" fillId="32" borderId="15" applyNumberFormat="0" applyFont="0" applyAlignment="0" applyProtection="0"/>
    <xf numFmtId="0" fontId="79" fillId="2" borderId="0" applyNumberFormat="0" applyBorder="0" applyAlignment="0" applyProtection="0"/>
    <xf numFmtId="0" fontId="79" fillId="8" borderId="0" applyNumberFormat="0" applyBorder="0" applyAlignment="0" applyProtection="0"/>
    <xf numFmtId="0" fontId="79" fillId="3" borderId="0" applyNumberFormat="0" applyBorder="0" applyAlignment="0" applyProtection="0"/>
    <xf numFmtId="0" fontId="79" fillId="9" borderId="0" applyNumberFormat="0" applyBorder="0" applyAlignment="0" applyProtection="0"/>
    <xf numFmtId="0" fontId="79" fillId="4" borderId="0" applyNumberFormat="0" applyBorder="0" applyAlignment="0" applyProtection="0"/>
    <xf numFmtId="0" fontId="79" fillId="10" borderId="0" applyNumberFormat="0" applyBorder="0" applyAlignment="0" applyProtection="0"/>
    <xf numFmtId="0" fontId="79" fillId="5" borderId="0" applyNumberFormat="0" applyBorder="0" applyAlignment="0" applyProtection="0"/>
    <xf numFmtId="0" fontId="79" fillId="11" borderId="0" applyNumberFormat="0" applyBorder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8" fillId="0" borderId="0"/>
    <xf numFmtId="0" fontId="78" fillId="32" borderId="15" applyNumberFormat="0" applyFont="0" applyAlignment="0" applyProtection="0"/>
    <xf numFmtId="0" fontId="78" fillId="2" borderId="0" applyNumberFormat="0" applyBorder="0" applyAlignment="0" applyProtection="0"/>
    <xf numFmtId="0" fontId="78" fillId="8" borderId="0" applyNumberFormat="0" applyBorder="0" applyAlignment="0" applyProtection="0"/>
    <xf numFmtId="0" fontId="78" fillId="3" borderId="0" applyNumberFormat="0" applyBorder="0" applyAlignment="0" applyProtection="0"/>
    <xf numFmtId="0" fontId="78" fillId="9" borderId="0" applyNumberFormat="0" applyBorder="0" applyAlignment="0" applyProtection="0"/>
    <xf numFmtId="0" fontId="78" fillId="4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7" fillId="0" borderId="0"/>
    <xf numFmtId="0" fontId="77" fillId="32" borderId="15" applyNumberFormat="0" applyFont="0" applyAlignment="0" applyProtection="0"/>
    <xf numFmtId="0" fontId="77" fillId="2" borderId="0" applyNumberFormat="0" applyBorder="0" applyAlignment="0" applyProtection="0"/>
    <xf numFmtId="0" fontId="77" fillId="8" borderId="0" applyNumberFormat="0" applyBorder="0" applyAlignment="0" applyProtection="0"/>
    <xf numFmtId="0" fontId="77" fillId="3" borderId="0" applyNumberFormat="0" applyBorder="0" applyAlignment="0" applyProtection="0"/>
    <xf numFmtId="0" fontId="77" fillId="9" borderId="0" applyNumberFormat="0" applyBorder="0" applyAlignment="0" applyProtection="0"/>
    <xf numFmtId="0" fontId="77" fillId="4" borderId="0" applyNumberFormat="0" applyBorder="0" applyAlignment="0" applyProtection="0"/>
    <xf numFmtId="0" fontId="77" fillId="10" borderId="0" applyNumberFormat="0" applyBorder="0" applyAlignment="0" applyProtection="0"/>
    <xf numFmtId="0" fontId="77" fillId="5" borderId="0" applyNumberFormat="0" applyBorder="0" applyAlignment="0" applyProtection="0"/>
    <xf numFmtId="0" fontId="77" fillId="11" borderId="0" applyNumberFormat="0" applyBorder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6" fillId="0" borderId="0"/>
    <xf numFmtId="0" fontId="76" fillId="32" borderId="15" applyNumberFormat="0" applyFont="0" applyAlignment="0" applyProtection="0"/>
    <xf numFmtId="0" fontId="76" fillId="2" borderId="0" applyNumberFormat="0" applyBorder="0" applyAlignment="0" applyProtection="0"/>
    <xf numFmtId="0" fontId="76" fillId="8" borderId="0" applyNumberFormat="0" applyBorder="0" applyAlignment="0" applyProtection="0"/>
    <xf numFmtId="0" fontId="76" fillId="3" borderId="0" applyNumberFormat="0" applyBorder="0" applyAlignment="0" applyProtection="0"/>
    <xf numFmtId="0" fontId="76" fillId="9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5" fillId="0" borderId="0"/>
    <xf numFmtId="0" fontId="75" fillId="32" borderId="15" applyNumberFormat="0" applyFont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3" borderId="0" applyNumberFormat="0" applyBorder="0" applyAlignment="0" applyProtection="0"/>
    <xf numFmtId="0" fontId="75" fillId="9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4" fillId="0" borderId="0"/>
    <xf numFmtId="0" fontId="74" fillId="32" borderId="15" applyNumberFormat="0" applyFont="0" applyAlignment="0" applyProtection="0"/>
    <xf numFmtId="0" fontId="74" fillId="2" borderId="0" applyNumberFormat="0" applyBorder="0" applyAlignment="0" applyProtection="0"/>
    <xf numFmtId="0" fontId="74" fillId="8" borderId="0" applyNumberFormat="0" applyBorder="0" applyAlignment="0" applyProtection="0"/>
    <xf numFmtId="0" fontId="74" fillId="3" borderId="0" applyNumberFormat="0" applyBorder="0" applyAlignment="0" applyProtection="0"/>
    <xf numFmtId="0" fontId="74" fillId="9" borderId="0" applyNumberFormat="0" applyBorder="0" applyAlignment="0" applyProtection="0"/>
    <xf numFmtId="0" fontId="74" fillId="4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3" fillId="0" borderId="0"/>
    <xf numFmtId="0" fontId="73" fillId="32" borderId="15" applyNumberFormat="0" applyFont="0" applyAlignment="0" applyProtection="0"/>
    <xf numFmtId="0" fontId="73" fillId="2" borderId="0" applyNumberFormat="0" applyBorder="0" applyAlignment="0" applyProtection="0"/>
    <xf numFmtId="0" fontId="73" fillId="8" borderId="0" applyNumberFormat="0" applyBorder="0" applyAlignment="0" applyProtection="0"/>
    <xf numFmtId="0" fontId="73" fillId="3" borderId="0" applyNumberFormat="0" applyBorder="0" applyAlignment="0" applyProtection="0"/>
    <xf numFmtId="0" fontId="73" fillId="9" borderId="0" applyNumberFormat="0" applyBorder="0" applyAlignment="0" applyProtection="0"/>
    <xf numFmtId="0" fontId="73" fillId="4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2" fillId="0" borderId="0"/>
    <xf numFmtId="0" fontId="72" fillId="32" borderId="15" applyNumberFormat="0" applyFont="0" applyAlignment="0" applyProtection="0"/>
    <xf numFmtId="0" fontId="72" fillId="2" borderId="0" applyNumberFormat="0" applyBorder="0" applyAlignment="0" applyProtection="0"/>
    <xf numFmtId="0" fontId="72" fillId="8" borderId="0" applyNumberFormat="0" applyBorder="0" applyAlignment="0" applyProtection="0"/>
    <xf numFmtId="0" fontId="72" fillId="3" borderId="0" applyNumberFormat="0" applyBorder="0" applyAlignment="0" applyProtection="0"/>
    <xf numFmtId="0" fontId="72" fillId="9" borderId="0" applyNumberFormat="0" applyBorder="0" applyAlignment="0" applyProtection="0"/>
    <xf numFmtId="0" fontId="72" fillId="4" borderId="0" applyNumberFormat="0" applyBorder="0" applyAlignment="0" applyProtection="0"/>
    <xf numFmtId="0" fontId="72" fillId="10" borderId="0" applyNumberFormat="0" applyBorder="0" applyAlignment="0" applyProtection="0"/>
    <xf numFmtId="0" fontId="72" fillId="5" borderId="0" applyNumberFormat="0" applyBorder="0" applyAlignment="0" applyProtection="0"/>
    <xf numFmtId="0" fontId="72" fillId="11" borderId="0" applyNumberFormat="0" applyBorder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1" fillId="0" borderId="0"/>
    <xf numFmtId="0" fontId="71" fillId="32" borderId="15" applyNumberFormat="0" applyFont="0" applyAlignment="0" applyProtection="0"/>
    <xf numFmtId="0" fontId="71" fillId="2" borderId="0" applyNumberFormat="0" applyBorder="0" applyAlignment="0" applyProtection="0"/>
    <xf numFmtId="0" fontId="71" fillId="8" borderId="0" applyNumberFormat="0" applyBorder="0" applyAlignment="0" applyProtection="0"/>
    <xf numFmtId="0" fontId="71" fillId="3" borderId="0" applyNumberFormat="0" applyBorder="0" applyAlignment="0" applyProtection="0"/>
    <xf numFmtId="0" fontId="71" fillId="9" borderId="0" applyNumberFormat="0" applyBorder="0" applyAlignment="0" applyProtection="0"/>
    <xf numFmtId="0" fontId="71" fillId="4" borderId="0" applyNumberFormat="0" applyBorder="0" applyAlignment="0" applyProtection="0"/>
    <xf numFmtId="0" fontId="71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11" borderId="0" applyNumberFormat="0" applyBorder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0" fillId="0" borderId="0"/>
    <xf numFmtId="0" fontId="70" fillId="32" borderId="15" applyNumberFormat="0" applyFont="0" applyAlignment="0" applyProtection="0"/>
    <xf numFmtId="0" fontId="70" fillId="2" borderId="0" applyNumberFormat="0" applyBorder="0" applyAlignment="0" applyProtection="0"/>
    <xf numFmtId="0" fontId="70" fillId="8" borderId="0" applyNumberFormat="0" applyBorder="0" applyAlignment="0" applyProtection="0"/>
    <xf numFmtId="0" fontId="70" fillId="3" borderId="0" applyNumberFormat="0" applyBorder="0" applyAlignment="0" applyProtection="0"/>
    <xf numFmtId="0" fontId="70" fillId="9" borderId="0" applyNumberFormat="0" applyBorder="0" applyAlignment="0" applyProtection="0"/>
    <xf numFmtId="0" fontId="70" fillId="4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11" borderId="0" applyNumberFormat="0" applyBorder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69" fillId="0" borderId="0"/>
    <xf numFmtId="0" fontId="69" fillId="32" borderId="15" applyNumberFormat="0" applyFont="0" applyAlignment="0" applyProtection="0"/>
    <xf numFmtId="0" fontId="69" fillId="2" borderId="0" applyNumberFormat="0" applyBorder="0" applyAlignment="0" applyProtection="0"/>
    <xf numFmtId="0" fontId="69" fillId="8" borderId="0" applyNumberFormat="0" applyBorder="0" applyAlignment="0" applyProtection="0"/>
    <xf numFmtId="0" fontId="69" fillId="3" borderId="0" applyNumberFormat="0" applyBorder="0" applyAlignment="0" applyProtection="0"/>
    <xf numFmtId="0" fontId="69" fillId="9" borderId="0" applyNumberFormat="0" applyBorder="0" applyAlignment="0" applyProtection="0"/>
    <xf numFmtId="0" fontId="69" fillId="4" borderId="0" applyNumberFormat="0" applyBorder="0" applyAlignment="0" applyProtection="0"/>
    <xf numFmtId="0" fontId="69" fillId="10" borderId="0" applyNumberFormat="0" applyBorder="0" applyAlignment="0" applyProtection="0"/>
    <xf numFmtId="0" fontId="69" fillId="5" borderId="0" applyNumberFormat="0" applyBorder="0" applyAlignment="0" applyProtection="0"/>
    <xf numFmtId="0" fontId="69" fillId="11" borderId="0" applyNumberFormat="0" applyBorder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8" fillId="0" borderId="0"/>
    <xf numFmtId="0" fontId="68" fillId="32" borderId="15" applyNumberFormat="0" applyFont="0" applyAlignment="0" applyProtection="0"/>
    <xf numFmtId="0" fontId="68" fillId="2" borderId="0" applyNumberFormat="0" applyBorder="0" applyAlignment="0" applyProtection="0"/>
    <xf numFmtId="0" fontId="68" fillId="8" borderId="0" applyNumberFormat="0" applyBorder="0" applyAlignment="0" applyProtection="0"/>
    <xf numFmtId="0" fontId="68" fillId="3" borderId="0" applyNumberFormat="0" applyBorder="0" applyAlignment="0" applyProtection="0"/>
    <xf numFmtId="0" fontId="68" fillId="9" borderId="0" applyNumberFormat="0" applyBorder="0" applyAlignment="0" applyProtection="0"/>
    <xf numFmtId="0" fontId="68" fillId="4" borderId="0" applyNumberFormat="0" applyBorder="0" applyAlignment="0" applyProtection="0"/>
    <xf numFmtId="0" fontId="68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11" borderId="0" applyNumberFormat="0" applyBorder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7" fillId="0" borderId="0"/>
    <xf numFmtId="0" fontId="67" fillId="32" borderId="15" applyNumberFormat="0" applyFont="0" applyAlignment="0" applyProtection="0"/>
    <xf numFmtId="0" fontId="67" fillId="2" borderId="0" applyNumberFormat="0" applyBorder="0" applyAlignment="0" applyProtection="0"/>
    <xf numFmtId="0" fontId="67" fillId="8" borderId="0" applyNumberFormat="0" applyBorder="0" applyAlignment="0" applyProtection="0"/>
    <xf numFmtId="0" fontId="67" fillId="3" borderId="0" applyNumberFormat="0" applyBorder="0" applyAlignment="0" applyProtection="0"/>
    <xf numFmtId="0" fontId="67" fillId="9" borderId="0" applyNumberFormat="0" applyBorder="0" applyAlignment="0" applyProtection="0"/>
    <xf numFmtId="0" fontId="67" fillId="4" borderId="0" applyNumberFormat="0" applyBorder="0" applyAlignment="0" applyProtection="0"/>
    <xf numFmtId="0" fontId="67" fillId="10" borderId="0" applyNumberFormat="0" applyBorder="0" applyAlignment="0" applyProtection="0"/>
    <xf numFmtId="0" fontId="67" fillId="5" borderId="0" applyNumberFormat="0" applyBorder="0" applyAlignment="0" applyProtection="0"/>
    <xf numFmtId="0" fontId="67" fillId="11" borderId="0" applyNumberFormat="0" applyBorder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6" fillId="0" borderId="0"/>
    <xf numFmtId="0" fontId="66" fillId="32" borderId="15" applyNumberFormat="0" applyFont="0" applyAlignment="0" applyProtection="0"/>
    <xf numFmtId="0" fontId="66" fillId="2" borderId="0" applyNumberFormat="0" applyBorder="0" applyAlignment="0" applyProtection="0"/>
    <xf numFmtId="0" fontId="66" fillId="8" borderId="0" applyNumberFormat="0" applyBorder="0" applyAlignment="0" applyProtection="0"/>
    <xf numFmtId="0" fontId="66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4" borderId="0" applyNumberFormat="0" applyBorder="0" applyAlignment="0" applyProtection="0"/>
    <xf numFmtId="0" fontId="66" fillId="10" borderId="0" applyNumberFormat="0" applyBorder="0" applyAlignment="0" applyProtection="0"/>
    <xf numFmtId="0" fontId="66" fillId="5" borderId="0" applyNumberFormat="0" applyBorder="0" applyAlignment="0" applyProtection="0"/>
    <xf numFmtId="0" fontId="66" fillId="11" borderId="0" applyNumberFormat="0" applyBorder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5" fillId="0" borderId="0"/>
    <xf numFmtId="0" fontId="65" fillId="32" borderId="15" applyNumberFormat="0" applyFont="0" applyAlignment="0" applyProtection="0"/>
    <xf numFmtId="0" fontId="65" fillId="2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4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11" borderId="0" applyNumberFormat="0" applyBorder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4" fillId="0" borderId="0"/>
    <xf numFmtId="0" fontId="64" fillId="32" borderId="15" applyNumberFormat="0" applyFont="0" applyAlignment="0" applyProtection="0"/>
    <xf numFmtId="0" fontId="64" fillId="2" borderId="0" applyNumberFormat="0" applyBorder="0" applyAlignment="0" applyProtection="0"/>
    <xf numFmtId="0" fontId="64" fillId="8" borderId="0" applyNumberFormat="0" applyBorder="0" applyAlignment="0" applyProtection="0"/>
    <xf numFmtId="0" fontId="64" fillId="3" borderId="0" applyNumberFormat="0" applyBorder="0" applyAlignment="0" applyProtection="0"/>
    <xf numFmtId="0" fontId="64" fillId="9" borderId="0" applyNumberFormat="0" applyBorder="0" applyAlignment="0" applyProtection="0"/>
    <xf numFmtId="0" fontId="64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11" borderId="0" applyNumberFormat="0" applyBorder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3" fillId="0" borderId="0"/>
    <xf numFmtId="0" fontId="63" fillId="32" borderId="15" applyNumberFormat="0" applyFont="0" applyAlignment="0" applyProtection="0"/>
    <xf numFmtId="0" fontId="63" fillId="2" borderId="0" applyNumberFormat="0" applyBorder="0" applyAlignment="0" applyProtection="0"/>
    <xf numFmtId="0" fontId="63" fillId="8" borderId="0" applyNumberFormat="0" applyBorder="0" applyAlignment="0" applyProtection="0"/>
    <xf numFmtId="0" fontId="63" fillId="3" borderId="0" applyNumberFormat="0" applyBorder="0" applyAlignment="0" applyProtection="0"/>
    <xf numFmtId="0" fontId="63" fillId="9" borderId="0" applyNumberFormat="0" applyBorder="0" applyAlignment="0" applyProtection="0"/>
    <xf numFmtId="0" fontId="63" fillId="4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1" borderId="0" applyNumberFormat="0" applyBorder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2" fillId="0" borderId="0"/>
    <xf numFmtId="0" fontId="62" fillId="32" borderId="15" applyNumberFormat="0" applyFont="0" applyAlignment="0" applyProtection="0"/>
    <xf numFmtId="0" fontId="62" fillId="2" borderId="0" applyNumberFormat="0" applyBorder="0" applyAlignment="0" applyProtection="0"/>
    <xf numFmtId="0" fontId="62" fillId="8" borderId="0" applyNumberFormat="0" applyBorder="0" applyAlignment="0" applyProtection="0"/>
    <xf numFmtId="0" fontId="62" fillId="3" borderId="0" applyNumberFormat="0" applyBorder="0" applyAlignment="0" applyProtection="0"/>
    <xf numFmtId="0" fontId="62" fillId="9" borderId="0" applyNumberFormat="0" applyBorder="0" applyAlignment="0" applyProtection="0"/>
    <xf numFmtId="0" fontId="62" fillId="4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11" borderId="0" applyNumberFormat="0" applyBorder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1" fillId="0" borderId="0"/>
    <xf numFmtId="0" fontId="61" fillId="32" borderId="15" applyNumberFormat="0" applyFont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0" fillId="0" borderId="0"/>
    <xf numFmtId="0" fontId="60" fillId="32" borderId="15" applyNumberFormat="0" applyFont="0" applyAlignment="0" applyProtection="0"/>
    <xf numFmtId="0" fontId="60" fillId="2" borderId="0" applyNumberFormat="0" applyBorder="0" applyAlignment="0" applyProtection="0"/>
    <xf numFmtId="0" fontId="60" fillId="8" borderId="0" applyNumberFormat="0" applyBorder="0" applyAlignment="0" applyProtection="0"/>
    <xf numFmtId="0" fontId="60" fillId="3" borderId="0" applyNumberFormat="0" applyBorder="0" applyAlignment="0" applyProtection="0"/>
    <xf numFmtId="0" fontId="60" fillId="9" borderId="0" applyNumberFormat="0" applyBorder="0" applyAlignment="0" applyProtection="0"/>
    <xf numFmtId="0" fontId="60" fillId="4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59" fillId="0" borderId="0"/>
    <xf numFmtId="0" fontId="59" fillId="32" borderId="15" applyNumberFormat="0" applyFont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59" fillId="3" borderId="0" applyNumberFormat="0" applyBorder="0" applyAlignment="0" applyProtection="0"/>
    <xf numFmtId="0" fontId="59" fillId="9" borderId="0" applyNumberFormat="0" applyBorder="0" applyAlignment="0" applyProtection="0"/>
    <xf numFmtId="0" fontId="59" fillId="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8" fillId="0" borderId="0"/>
    <xf numFmtId="0" fontId="58" fillId="32" borderId="15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0"/>
    <xf numFmtId="0" fontId="57" fillId="32" borderId="15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6" fillId="0" borderId="0"/>
    <xf numFmtId="0" fontId="56" fillId="32" borderId="15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5" fillId="0" borderId="0"/>
    <xf numFmtId="0" fontId="55" fillId="32" borderId="15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2" borderId="15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2" borderId="15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2" borderId="15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2" borderId="15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2" borderId="15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4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148" fillId="0" borderId="0" applyFont="0" applyFill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0" borderId="0"/>
    <xf numFmtId="0" fontId="49" fillId="32" borderId="15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148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44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9" fillId="32" borderId="15" applyNumberFormat="0" applyFont="0" applyAlignment="0" applyProtection="0"/>
    <xf numFmtId="0" fontId="48" fillId="0" borderId="0"/>
    <xf numFmtId="0" fontId="48" fillId="32" borderId="15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2" borderId="15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2" borderId="15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5" fillId="0" borderId="0"/>
    <xf numFmtId="0" fontId="45" fillId="32" borderId="15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4" fillId="0" borderId="0"/>
    <xf numFmtId="0" fontId="44" fillId="32" borderId="15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3" fillId="0" borderId="0"/>
    <xf numFmtId="0" fontId="43" fillId="32" borderId="15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2" borderId="15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32" borderId="15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32" borderId="15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2" borderId="15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32" borderId="15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2" borderId="15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32" borderId="15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2" borderId="15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32" borderId="15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32" borderId="15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2" borderId="15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32" borderId="15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32" borderId="15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32" borderId="15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44" fontId="184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48" fillId="0" borderId="0" applyFont="0" applyFill="0" applyBorder="0" applyAlignment="0" applyProtection="0"/>
    <xf numFmtId="0" fontId="27" fillId="0" borderId="0"/>
    <xf numFmtId="0" fontId="27" fillId="32" borderId="15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32" borderId="15" applyNumberFormat="0" applyFont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2" borderId="15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32" borderId="15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32" borderId="15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2" borderId="15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0" fontId="22" fillId="32" borderId="15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32" borderId="15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0" fillId="0" borderId="0"/>
    <xf numFmtId="0" fontId="20" fillId="0" borderId="0"/>
    <xf numFmtId="0" fontId="20" fillId="32" borderId="15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32" borderId="15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2" borderId="15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2" borderId="15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15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15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32" borderId="15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2" borderId="15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1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15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15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1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15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15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1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15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1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1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1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15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41">
    <xf numFmtId="0" fontId="0" fillId="0" borderId="0" xfId="0"/>
    <xf numFmtId="0" fontId="153" fillId="0" borderId="0" xfId="0" applyFont="1"/>
    <xf numFmtId="0" fontId="154" fillId="0" borderId="0" xfId="0" applyFont="1"/>
    <xf numFmtId="8" fontId="155" fillId="0" borderId="0" xfId="0" applyNumberFormat="1" applyFont="1"/>
    <xf numFmtId="0" fontId="156" fillId="0" borderId="0" xfId="0" applyFont="1"/>
    <xf numFmtId="0" fontId="158" fillId="0" borderId="0" xfId="0" applyFont="1" applyAlignment="1">
      <alignment horizontal="center"/>
    </xf>
    <xf numFmtId="0" fontId="159" fillId="0" borderId="0" xfId="0" applyFont="1"/>
    <xf numFmtId="0" fontId="153" fillId="0" borderId="0" xfId="0" applyFont="1" applyAlignment="1">
      <alignment horizontal="center"/>
    </xf>
    <xf numFmtId="14" fontId="160" fillId="0" borderId="0" xfId="0" applyNumberFormat="1" applyFont="1" applyAlignment="1">
      <alignment horizontal="center"/>
    </xf>
    <xf numFmtId="0" fontId="160" fillId="0" borderId="0" xfId="0" applyFont="1" applyAlignment="1">
      <alignment horizontal="center"/>
    </xf>
    <xf numFmtId="0" fontId="160" fillId="0" borderId="2" xfId="0" applyFont="1" applyBorder="1" applyAlignment="1">
      <alignment horizontal="center"/>
    </xf>
    <xf numFmtId="0" fontId="160" fillId="0" borderId="0" xfId="0" applyFont="1" applyBorder="1" applyAlignment="1">
      <alignment horizontal="center"/>
    </xf>
    <xf numFmtId="0" fontId="161" fillId="0" borderId="3" xfId="0" applyFont="1" applyBorder="1" applyAlignment="1">
      <alignment horizontal="center"/>
    </xf>
    <xf numFmtId="0" fontId="159" fillId="0" borderId="0" xfId="0" applyFont="1" applyAlignment="1">
      <alignment horizontal="center"/>
    </xf>
    <xf numFmtId="14" fontId="159" fillId="0" borderId="0" xfId="0" applyNumberFormat="1" applyFont="1" applyAlignment="1">
      <alignment horizontal="center"/>
    </xf>
    <xf numFmtId="166" fontId="159" fillId="0" borderId="2" xfId="0" applyNumberFormat="1" applyFont="1" applyBorder="1" applyAlignment="1">
      <alignment horizontal="right"/>
    </xf>
    <xf numFmtId="166" fontId="159" fillId="0" borderId="0" xfId="0" applyNumberFormat="1" applyFont="1" applyBorder="1" applyAlignment="1">
      <alignment horizontal="right"/>
    </xf>
    <xf numFmtId="165" fontId="159" fillId="0" borderId="3" xfId="42" applyNumberFormat="1" applyFont="1" applyBorder="1" applyAlignment="1">
      <alignment horizontal="center"/>
    </xf>
    <xf numFmtId="0" fontId="159" fillId="0" borderId="3" xfId="0" applyFont="1" applyBorder="1"/>
    <xf numFmtId="166" fontId="159" fillId="0" borderId="4" xfId="0" applyNumberFormat="1" applyFont="1" applyBorder="1" applyAlignment="1">
      <alignment horizontal="right"/>
    </xf>
    <xf numFmtId="0" fontId="159" fillId="0" borderId="3" xfId="0" applyFont="1" applyBorder="1" applyAlignment="1">
      <alignment horizontal="center"/>
    </xf>
    <xf numFmtId="0" fontId="161" fillId="0" borderId="0" xfId="0" applyFont="1" applyAlignment="1">
      <alignment horizontal="center"/>
    </xf>
    <xf numFmtId="165" fontId="159" fillId="0" borderId="3" xfId="42" applyNumberFormat="1" applyFont="1" applyBorder="1"/>
    <xf numFmtId="0" fontId="159" fillId="0" borderId="4" xfId="0" applyFont="1" applyBorder="1" applyAlignment="1">
      <alignment horizontal="center"/>
    </xf>
    <xf numFmtId="0" fontId="159" fillId="0" borderId="1" xfId="0" applyFont="1" applyBorder="1" applyAlignment="1">
      <alignment horizontal="center"/>
    </xf>
    <xf numFmtId="0" fontId="159" fillId="0" borderId="5" xfId="0" applyFont="1" applyBorder="1" applyAlignment="1">
      <alignment horizontal="center"/>
    </xf>
    <xf numFmtId="0" fontId="159" fillId="0" borderId="4" xfId="0" applyFont="1" applyBorder="1"/>
    <xf numFmtId="0" fontId="159" fillId="0" borderId="1" xfId="0" applyFont="1" applyBorder="1"/>
    <xf numFmtId="0" fontId="159" fillId="0" borderId="5" xfId="0" applyFont="1" applyBorder="1"/>
    <xf numFmtId="0" fontId="159" fillId="0" borderId="0" xfId="0" applyFont="1" applyBorder="1" applyAlignment="1">
      <alignment horizontal="center"/>
    </xf>
    <xf numFmtId="0" fontId="159" fillId="0" borderId="6" xfId="0" applyFont="1" applyBorder="1"/>
    <xf numFmtId="0" fontId="159" fillId="0" borderId="7" xfId="0" applyFont="1" applyBorder="1"/>
    <xf numFmtId="0" fontId="159" fillId="0" borderId="8" xfId="0" applyFont="1" applyBorder="1"/>
    <xf numFmtId="0" fontId="162" fillId="0" borderId="0" xfId="0" applyFont="1" applyAlignment="1">
      <alignment horizontal="center"/>
    </xf>
    <xf numFmtId="6" fontId="157" fillId="0" borderId="0" xfId="0" applyNumberFormat="1" applyFont="1" applyAlignment="1">
      <alignment horizontal="center"/>
    </xf>
    <xf numFmtId="0" fontId="159" fillId="0" borderId="1" xfId="0" applyFont="1" applyBorder="1" applyAlignment="1"/>
    <xf numFmtId="166" fontId="154" fillId="33" borderId="0" xfId="0" applyNumberFormat="1" applyFont="1" applyFill="1"/>
    <xf numFmtId="43" fontId="154" fillId="0" borderId="0" xfId="312" applyFont="1"/>
    <xf numFmtId="166" fontId="154" fillId="0" borderId="0" xfId="0" applyNumberFormat="1" applyFont="1" applyFill="1"/>
    <xf numFmtId="0" fontId="163" fillId="0" borderId="0" xfId="38" applyFont="1" applyFill="1" applyAlignment="1" applyProtection="1">
      <alignment horizontal="center"/>
      <protection locked="0"/>
    </xf>
    <xf numFmtId="0" fontId="151" fillId="0" borderId="0" xfId="0" applyFont="1" applyFill="1" applyProtection="1">
      <protection locked="0"/>
    </xf>
    <xf numFmtId="0" fontId="151" fillId="35" borderId="0" xfId="0" applyFont="1" applyFill="1" applyProtection="1"/>
    <xf numFmtId="0" fontId="183" fillId="0" borderId="0" xfId="0" applyFont="1" applyFill="1" applyProtection="1">
      <protection locked="0"/>
    </xf>
    <xf numFmtId="43" fontId="151" fillId="35" borderId="0" xfId="312" applyFont="1" applyFill="1" applyProtection="1"/>
    <xf numFmtId="0" fontId="151" fillId="33" borderId="0" xfId="0" applyFont="1" applyFill="1" applyProtection="1">
      <protection locked="0"/>
    </xf>
    <xf numFmtId="0" fontId="151" fillId="35" borderId="0" xfId="0" applyFont="1" applyFill="1" applyAlignment="1" applyProtection="1">
      <alignment horizontal="right"/>
    </xf>
    <xf numFmtId="43" fontId="151" fillId="35" borderId="0" xfId="312" applyFont="1" applyFill="1" applyAlignment="1" applyProtection="1">
      <alignment horizontal="right"/>
    </xf>
    <xf numFmtId="0" fontId="163" fillId="35" borderId="0" xfId="38" applyFont="1" applyFill="1" applyAlignment="1" applyProtection="1">
      <alignment horizontal="center"/>
    </xf>
    <xf numFmtId="0" fontId="0" fillId="0" borderId="0" xfId="0" applyProtection="1">
      <protection locked="0"/>
    </xf>
    <xf numFmtId="0" fontId="148" fillId="0" borderId="0" xfId="0" applyFont="1" applyProtection="1">
      <protection locked="0"/>
    </xf>
    <xf numFmtId="43" fontId="149" fillId="0" borderId="0" xfId="312" applyFont="1" applyProtection="1">
      <protection locked="0"/>
    </xf>
    <xf numFmtId="0" fontId="63" fillId="0" borderId="0" xfId="1728" applyProtection="1">
      <protection locked="0"/>
    </xf>
    <xf numFmtId="0" fontId="185" fillId="0" borderId="0" xfId="0" applyFont="1" applyProtection="1">
      <protection locked="0"/>
    </xf>
    <xf numFmtId="3" fontId="151" fillId="0" borderId="0" xfId="0" applyNumberFormat="1" applyFont="1" applyFill="1" applyProtection="1">
      <protection locked="0"/>
    </xf>
    <xf numFmtId="4" fontId="151" fillId="0" borderId="0" xfId="0" applyNumberFormat="1" applyFont="1" applyFill="1" applyProtection="1">
      <protection locked="0"/>
    </xf>
    <xf numFmtId="3" fontId="183" fillId="0" borderId="0" xfId="0" applyNumberFormat="1" applyFont="1" applyFill="1" applyProtection="1">
      <protection locked="0"/>
    </xf>
    <xf numFmtId="4" fontId="183" fillId="0" borderId="0" xfId="0" applyNumberFormat="1" applyFont="1" applyFill="1" applyProtection="1">
      <protection locked="0"/>
    </xf>
    <xf numFmtId="4" fontId="151" fillId="33" borderId="0" xfId="0" applyNumberFormat="1" applyFont="1" applyFill="1" applyProtection="1">
      <protection locked="0"/>
    </xf>
    <xf numFmtId="3" fontId="151" fillId="33" borderId="0" xfId="0" applyNumberFormat="1" applyFont="1" applyFill="1" applyProtection="1">
      <protection locked="0"/>
    </xf>
    <xf numFmtId="14" fontId="151" fillId="0" borderId="0" xfId="0" applyNumberFormat="1" applyFont="1" applyFill="1" applyProtection="1">
      <protection locked="0"/>
    </xf>
    <xf numFmtId="0" fontId="151" fillId="0" borderId="0" xfId="39" applyFont="1" applyFill="1" applyProtection="1">
      <protection locked="0"/>
    </xf>
    <xf numFmtId="0" fontId="151" fillId="0" borderId="0" xfId="0" applyFont="1" applyFill="1" applyAlignment="1" applyProtection="1">
      <alignment horizontal="right"/>
      <protection locked="0"/>
    </xf>
    <xf numFmtId="0" fontId="21" fillId="0" borderId="0" xfId="10769"/>
    <xf numFmtId="0" fontId="186" fillId="0" borderId="0" xfId="5352" applyFont="1"/>
    <xf numFmtId="0" fontId="187" fillId="0" borderId="0" xfId="5352" applyFont="1"/>
    <xf numFmtId="0" fontId="187" fillId="35" borderId="0" xfId="5352" applyFont="1" applyFill="1"/>
    <xf numFmtId="0" fontId="188" fillId="0" borderId="0" xfId="5352" applyFont="1"/>
    <xf numFmtId="0" fontId="187" fillId="36" borderId="0" xfId="5352" applyFont="1" applyFill="1" applyAlignment="1">
      <alignment horizontal="center"/>
    </xf>
    <xf numFmtId="0" fontId="187" fillId="0" borderId="6" xfId="5352" applyFont="1" applyBorder="1"/>
    <xf numFmtId="0" fontId="187" fillId="0" borderId="7" xfId="5352" applyFont="1" applyBorder="1"/>
    <xf numFmtId="0" fontId="187" fillId="0" borderId="2" xfId="5352" applyFont="1" applyBorder="1"/>
    <xf numFmtId="0" fontId="187" fillId="0" borderId="0" xfId="5352" applyFont="1" applyBorder="1"/>
    <xf numFmtId="168" fontId="190" fillId="0" borderId="0" xfId="5354" applyNumberFormat="1" applyFont="1"/>
    <xf numFmtId="169" fontId="187" fillId="0" borderId="3" xfId="5352" applyNumberFormat="1" applyFont="1" applyFill="1" applyBorder="1"/>
    <xf numFmtId="0" fontId="187" fillId="0" borderId="4" xfId="5352" applyFont="1" applyBorder="1"/>
    <xf numFmtId="0" fontId="187" fillId="0" borderId="1" xfId="5352" applyFont="1" applyBorder="1"/>
    <xf numFmtId="0" fontId="187" fillId="0" borderId="0" xfId="5352" applyFont="1" applyFill="1" applyBorder="1" applyAlignment="1">
      <alignment horizontal="center" vertical="top" wrapText="1"/>
    </xf>
    <xf numFmtId="0" fontId="189" fillId="0" borderId="0" xfId="5352" applyFont="1" applyBorder="1" applyAlignment="1"/>
    <xf numFmtId="0" fontId="189" fillId="0" borderId="35" xfId="5352" applyFont="1" applyBorder="1" applyAlignment="1">
      <alignment horizontal="center"/>
    </xf>
    <xf numFmtId="0" fontId="189" fillId="0" borderId="0" xfId="5352" applyFont="1" applyBorder="1" applyAlignment="1">
      <alignment horizontal="center"/>
    </xf>
    <xf numFmtId="0" fontId="189" fillId="0" borderId="0" xfId="5352" applyFont="1" applyBorder="1" applyAlignment="1">
      <alignment horizontal="center" wrapText="1"/>
    </xf>
    <xf numFmtId="0" fontId="189" fillId="0" borderId="36" xfId="5352" applyFont="1" applyBorder="1" applyAlignment="1">
      <alignment horizontal="center"/>
    </xf>
    <xf numFmtId="0" fontId="189" fillId="0" borderId="25" xfId="5352" applyFont="1" applyBorder="1" applyAlignment="1">
      <alignment wrapText="1"/>
    </xf>
    <xf numFmtId="168" fontId="190" fillId="0" borderId="24" xfId="5354" applyNumberFormat="1" applyFont="1" applyBorder="1" applyAlignment="1">
      <alignment horizontal="center" wrapText="1"/>
    </xf>
    <xf numFmtId="0" fontId="187" fillId="0" borderId="23" xfId="5352" applyFont="1" applyBorder="1" applyAlignment="1">
      <alignment horizontal="center" wrapText="1"/>
    </xf>
    <xf numFmtId="0" fontId="187" fillId="0" borderId="35" xfId="5352" applyFont="1" applyBorder="1"/>
    <xf numFmtId="44" fontId="187" fillId="0" borderId="36" xfId="5352" applyNumberFormat="1" applyFont="1" applyFill="1" applyBorder="1"/>
    <xf numFmtId="0" fontId="187" fillId="0" borderId="35" xfId="5352" applyFont="1" applyBorder="1" applyAlignment="1"/>
    <xf numFmtId="164" fontId="190" fillId="0" borderId="0" xfId="5353" applyNumberFormat="1" applyFont="1" applyFill="1" applyBorder="1"/>
    <xf numFmtId="10" fontId="190" fillId="0" borderId="0" xfId="5353" applyNumberFormat="1" applyFont="1" applyFill="1" applyBorder="1"/>
    <xf numFmtId="172" fontId="187" fillId="0" borderId="0" xfId="5352" applyNumberFormat="1" applyFont="1"/>
    <xf numFmtId="0" fontId="187" fillId="0" borderId="22" xfId="5352" applyFont="1" applyBorder="1" applyAlignment="1"/>
    <xf numFmtId="164" fontId="190" fillId="0" borderId="1" xfId="5353" applyNumberFormat="1" applyFont="1" applyFill="1" applyBorder="1"/>
    <xf numFmtId="10" fontId="190" fillId="0" borderId="1" xfId="5353" applyNumberFormat="1" applyFont="1" applyFill="1" applyBorder="1"/>
    <xf numFmtId="44" fontId="187" fillId="0" borderId="21" xfId="5352" applyNumberFormat="1" applyFont="1" applyFill="1" applyBorder="1"/>
    <xf numFmtId="168" fontId="190" fillId="0" borderId="37" xfId="5354" applyNumberFormat="1" applyFont="1" applyBorder="1" applyAlignment="1"/>
    <xf numFmtId="164" fontId="190" fillId="0" borderId="19" xfId="5353" applyNumberFormat="1" applyFont="1" applyFill="1" applyBorder="1"/>
    <xf numFmtId="44" fontId="187" fillId="0" borderId="18" xfId="5352" applyNumberFormat="1" applyFont="1" applyFill="1" applyBorder="1"/>
    <xf numFmtId="44" fontId="187" fillId="0" borderId="0" xfId="5351" applyFont="1" applyBorder="1"/>
    <xf numFmtId="172" fontId="187" fillId="0" borderId="0" xfId="5352" applyNumberFormat="1" applyFont="1" applyBorder="1"/>
    <xf numFmtId="0" fontId="187" fillId="0" borderId="37" xfId="5352" applyFont="1" applyBorder="1"/>
    <xf numFmtId="0" fontId="187" fillId="0" borderId="38" xfId="5352" applyFont="1" applyBorder="1"/>
    <xf numFmtId="168" fontId="190" fillId="0" borderId="38" xfId="5354" applyNumberFormat="1" applyFont="1" applyFill="1" applyBorder="1"/>
    <xf numFmtId="164" fontId="190" fillId="0" borderId="38" xfId="5353" applyNumberFormat="1" applyFont="1" applyFill="1" applyBorder="1"/>
    <xf numFmtId="169" fontId="187" fillId="0" borderId="38" xfId="5352" applyNumberFormat="1" applyFont="1" applyFill="1" applyBorder="1" applyAlignment="1">
      <alignment horizontal="right"/>
    </xf>
    <xf numFmtId="165" fontId="190" fillId="0" borderId="38" xfId="5353" applyNumberFormat="1" applyFont="1" applyFill="1" applyBorder="1"/>
    <xf numFmtId="44" fontId="187" fillId="0" borderId="39" xfId="5352" applyNumberFormat="1" applyFont="1" applyFill="1" applyBorder="1"/>
    <xf numFmtId="14" fontId="187" fillId="0" borderId="0" xfId="5352" applyNumberFormat="1" applyFont="1"/>
    <xf numFmtId="0" fontId="187" fillId="0" borderId="35" xfId="5352" applyFont="1" applyFill="1" applyBorder="1"/>
    <xf numFmtId="0" fontId="187" fillId="0" borderId="0" xfId="5352" applyFont="1" applyFill="1" applyBorder="1"/>
    <xf numFmtId="168" fontId="190" fillId="0" borderId="0" xfId="5354" applyNumberFormat="1" applyFont="1" applyFill="1" applyBorder="1"/>
    <xf numFmtId="9" fontId="190" fillId="0" borderId="0" xfId="5353" applyFont="1" applyFill="1" applyBorder="1"/>
    <xf numFmtId="169" fontId="187" fillId="0" borderId="0" xfId="5352" applyNumberFormat="1" applyFont="1" applyFill="1" applyBorder="1" applyAlignment="1">
      <alignment horizontal="right"/>
    </xf>
    <xf numFmtId="165" fontId="190" fillId="0" borderId="0" xfId="5353" applyNumberFormat="1" applyFont="1" applyFill="1" applyBorder="1"/>
    <xf numFmtId="44" fontId="187" fillId="0" borderId="0" xfId="5352" applyNumberFormat="1" applyFont="1" applyFill="1" applyBorder="1"/>
    <xf numFmtId="168" fontId="189" fillId="0" borderId="25" xfId="5354" applyNumberFormat="1" applyFont="1" applyBorder="1" applyAlignment="1">
      <alignment horizontal="center"/>
    </xf>
    <xf numFmtId="168" fontId="189" fillId="0" borderId="24" xfId="5354" applyNumberFormat="1" applyFont="1" applyBorder="1" applyAlignment="1">
      <alignment horizontal="center"/>
    </xf>
    <xf numFmtId="0" fontId="191" fillId="0" borderId="24" xfId="5354" applyNumberFormat="1" applyFont="1" applyBorder="1" applyAlignment="1">
      <alignment horizontal="center"/>
    </xf>
    <xf numFmtId="168" fontId="191" fillId="0" borderId="24" xfId="5354" applyNumberFormat="1" applyFont="1" applyBorder="1" applyAlignment="1">
      <alignment horizontal="center"/>
    </xf>
    <xf numFmtId="0" fontId="189" fillId="0" borderId="24" xfId="5352" applyFont="1" applyBorder="1" applyAlignment="1">
      <alignment horizontal="center"/>
    </xf>
    <xf numFmtId="16" fontId="189" fillId="0" borderId="24" xfId="5352" applyNumberFormat="1" applyFont="1" applyBorder="1" applyAlignment="1">
      <alignment horizontal="center"/>
    </xf>
    <xf numFmtId="0" fontId="189" fillId="0" borderId="23" xfId="5352" applyFont="1" applyBorder="1" applyAlignment="1">
      <alignment horizontal="center"/>
    </xf>
    <xf numFmtId="168" fontId="189" fillId="0" borderId="35" xfId="5354" applyNumberFormat="1" applyFont="1" applyBorder="1" applyAlignment="1">
      <alignment horizontal="center"/>
    </xf>
    <xf numFmtId="168" fontId="189" fillId="0" borderId="0" xfId="5354" applyNumberFormat="1" applyFont="1" applyBorder="1" applyAlignment="1">
      <alignment horizontal="center"/>
    </xf>
    <xf numFmtId="14" fontId="190" fillId="34" borderId="0" xfId="5354" applyNumberFormat="1" applyFont="1" applyFill="1" applyBorder="1" applyAlignment="1">
      <alignment horizontal="center"/>
    </xf>
    <xf numFmtId="0" fontId="187" fillId="0" borderId="36" xfId="5352" applyFont="1" applyBorder="1" applyAlignment="1"/>
    <xf numFmtId="0" fontId="190" fillId="0" borderId="0" xfId="5354" applyNumberFormat="1" applyFont="1" applyBorder="1" applyAlignment="1">
      <alignment horizontal="center"/>
    </xf>
    <xf numFmtId="170" fontId="190" fillId="0" borderId="0" xfId="312" applyNumberFormat="1" applyFont="1" applyBorder="1" applyAlignment="1">
      <alignment horizontal="center"/>
    </xf>
    <xf numFmtId="0" fontId="187" fillId="34" borderId="0" xfId="5352" applyFont="1" applyFill="1" applyBorder="1" applyAlignment="1">
      <alignment horizontal="right"/>
    </xf>
    <xf numFmtId="0" fontId="187" fillId="0" borderId="22" xfId="5352" applyFont="1" applyBorder="1"/>
    <xf numFmtId="0" fontId="187" fillId="34" borderId="1" xfId="5352" applyFont="1" applyFill="1" applyBorder="1" applyAlignment="1">
      <alignment horizontal="right"/>
    </xf>
    <xf numFmtId="168" fontId="190" fillId="0" borderId="35" xfId="5354" applyNumberFormat="1" applyFont="1" applyBorder="1" applyAlignment="1">
      <alignment horizontal="center"/>
    </xf>
    <xf numFmtId="168" fontId="190" fillId="0" borderId="0" xfId="5354" applyNumberFormat="1" applyFont="1" applyBorder="1" applyAlignment="1">
      <alignment horizontal="center"/>
    </xf>
    <xf numFmtId="168" fontId="190" fillId="0" borderId="0" xfId="5354" applyNumberFormat="1" applyFont="1" applyFill="1" applyBorder="1" applyAlignment="1">
      <alignment horizontal="center"/>
    </xf>
    <xf numFmtId="168" fontId="190" fillId="0" borderId="7" xfId="5354" applyNumberFormat="1" applyFont="1" applyFill="1" applyBorder="1" applyAlignment="1"/>
    <xf numFmtId="168" fontId="187" fillId="0" borderId="34" xfId="5352" applyNumberFormat="1" applyFont="1" applyFill="1" applyBorder="1" applyAlignment="1"/>
    <xf numFmtId="168" fontId="190" fillId="0" borderId="20" xfId="5354" applyNumberFormat="1" applyFont="1" applyBorder="1" applyAlignment="1">
      <alignment horizontal="center"/>
    </xf>
    <xf numFmtId="168" fontId="190" fillId="0" borderId="19" xfId="5354" applyNumberFormat="1" applyFont="1" applyBorder="1" applyAlignment="1">
      <alignment horizontal="center"/>
    </xf>
    <xf numFmtId="164" fontId="190" fillId="0" borderId="19" xfId="5353" applyNumberFormat="1" applyFont="1" applyFill="1" applyBorder="1" applyAlignment="1">
      <alignment horizontal="center"/>
    </xf>
    <xf numFmtId="164" fontId="190" fillId="0" borderId="19" xfId="5353" applyNumberFormat="1" applyFont="1" applyFill="1" applyBorder="1" applyAlignment="1"/>
    <xf numFmtId="164" fontId="187" fillId="0" borderId="18" xfId="5352" applyNumberFormat="1" applyFont="1" applyFill="1" applyBorder="1" applyAlignment="1"/>
    <xf numFmtId="0" fontId="189" fillId="0" borderId="0" xfId="5352" applyFont="1"/>
    <xf numFmtId="168" fontId="189" fillId="0" borderId="33" xfId="5354" applyNumberFormat="1" applyFont="1" applyBorder="1" applyAlignment="1">
      <alignment horizontal="center"/>
    </xf>
    <xf numFmtId="0" fontId="189" fillId="0" borderId="32" xfId="5352" applyFont="1" applyBorder="1" applyAlignment="1">
      <alignment horizontal="center"/>
    </xf>
    <xf numFmtId="0" fontId="189" fillId="0" borderId="0" xfId="5352" applyFont="1" applyAlignment="1">
      <alignment horizontal="center"/>
    </xf>
    <xf numFmtId="168" fontId="189" fillId="34" borderId="29" xfId="5354" applyNumberFormat="1" applyFont="1" applyFill="1" applyBorder="1" applyAlignment="1">
      <alignment horizontal="center"/>
    </xf>
    <xf numFmtId="168" fontId="189" fillId="34" borderId="0" xfId="5354" applyNumberFormat="1" applyFont="1" applyFill="1" applyBorder="1" applyAlignment="1">
      <alignment horizontal="center"/>
    </xf>
    <xf numFmtId="0" fontId="190" fillId="34" borderId="0" xfId="5354" applyNumberFormat="1" applyFont="1" applyFill="1" applyBorder="1" applyAlignment="1">
      <alignment horizontal="center"/>
    </xf>
    <xf numFmtId="0" fontId="187" fillId="34" borderId="0" xfId="5352" applyFont="1" applyFill="1" applyBorder="1" applyAlignment="1">
      <alignment horizontal="center"/>
    </xf>
    <xf numFmtId="0" fontId="187" fillId="0" borderId="28" xfId="5352" applyFont="1" applyBorder="1" applyAlignment="1">
      <alignment horizontal="center"/>
    </xf>
    <xf numFmtId="0" fontId="187" fillId="0" borderId="0" xfId="5352" applyFont="1" applyAlignment="1">
      <alignment horizontal="center"/>
    </xf>
    <xf numFmtId="14" fontId="187" fillId="34" borderId="0" xfId="5352" applyNumberFormat="1" applyFont="1" applyFill="1" applyBorder="1" applyAlignment="1">
      <alignment horizontal="center"/>
    </xf>
    <xf numFmtId="43" fontId="187" fillId="34" borderId="0" xfId="312" applyFont="1" applyFill="1" applyBorder="1" applyAlignment="1">
      <alignment horizontal="center"/>
    </xf>
    <xf numFmtId="0" fontId="187" fillId="0" borderId="29" xfId="5352" applyFont="1" applyBorder="1"/>
    <xf numFmtId="168" fontId="187" fillId="0" borderId="28" xfId="5352" applyNumberFormat="1" applyFont="1" applyBorder="1"/>
    <xf numFmtId="170" fontId="187" fillId="0" borderId="28" xfId="312" applyNumberFormat="1" applyFont="1" applyBorder="1"/>
    <xf numFmtId="0" fontId="187" fillId="0" borderId="31" xfId="5352" applyFont="1" applyBorder="1"/>
    <xf numFmtId="168" fontId="187" fillId="0" borderId="30" xfId="5352" applyNumberFormat="1" applyFont="1" applyBorder="1"/>
    <xf numFmtId="168" fontId="190" fillId="0" borderId="29" xfId="5354" applyNumberFormat="1" applyFont="1" applyBorder="1" applyAlignment="1">
      <alignment horizontal="center"/>
    </xf>
    <xf numFmtId="168" fontId="187" fillId="0" borderId="7" xfId="5352" applyNumberFormat="1" applyFont="1" applyBorder="1" applyAlignment="1"/>
    <xf numFmtId="168" fontId="187" fillId="0" borderId="0" xfId="5352" applyNumberFormat="1" applyFont="1" applyBorder="1"/>
    <xf numFmtId="168" fontId="190" fillId="0" borderId="27" xfId="5354" applyNumberFormat="1" applyFont="1" applyBorder="1" applyAlignment="1">
      <alignment horizontal="center"/>
    </xf>
    <xf numFmtId="164" fontId="190" fillId="0" borderId="19" xfId="5353" applyNumberFormat="1" applyFont="1" applyBorder="1" applyAlignment="1"/>
    <xf numFmtId="164" fontId="190" fillId="0" borderId="19" xfId="5353" applyNumberFormat="1" applyFont="1" applyBorder="1"/>
    <xf numFmtId="164" fontId="190" fillId="0" borderId="26" xfId="5353" applyNumberFormat="1" applyFont="1" applyBorder="1"/>
    <xf numFmtId="175" fontId="187" fillId="0" borderId="0" xfId="5352" applyNumberFormat="1" applyFont="1"/>
    <xf numFmtId="174" fontId="187" fillId="0" borderId="0" xfId="5352" applyNumberFormat="1" applyFont="1"/>
    <xf numFmtId="0" fontId="187" fillId="0" borderId="25" xfId="5352" applyFont="1" applyBorder="1"/>
    <xf numFmtId="0" fontId="187" fillId="0" borderId="24" xfId="5352" applyFont="1" applyBorder="1"/>
    <xf numFmtId="166" fontId="187" fillId="0" borderId="24" xfId="5352" applyNumberFormat="1" applyFont="1" applyBorder="1"/>
    <xf numFmtId="0" fontId="187" fillId="0" borderId="23" xfId="5352" applyFont="1" applyBorder="1"/>
    <xf numFmtId="166" fontId="187" fillId="0" borderId="1" xfId="5352" applyNumberFormat="1" applyFont="1" applyBorder="1"/>
    <xf numFmtId="0" fontId="187" fillId="0" borderId="21" xfId="5352" applyFont="1" applyBorder="1"/>
    <xf numFmtId="0" fontId="187" fillId="0" borderId="20" xfId="5352" applyFont="1" applyBorder="1"/>
    <xf numFmtId="0" fontId="187" fillId="0" borderId="19" xfId="5352" applyFont="1" applyBorder="1"/>
    <xf numFmtId="166" fontId="187" fillId="0" borderId="19" xfId="5352" applyNumberFormat="1" applyFont="1" applyBorder="1"/>
    <xf numFmtId="0" fontId="187" fillId="0" borderId="18" xfId="5352" applyFont="1" applyBorder="1"/>
    <xf numFmtId="0" fontId="189" fillId="0" borderId="24" xfId="5352" applyFont="1" applyBorder="1" applyAlignment="1">
      <alignment horizontal="center"/>
    </xf>
    <xf numFmtId="168" fontId="187" fillId="0" borderId="5" xfId="5351" applyNumberFormat="1" applyFont="1" applyFill="1" applyBorder="1"/>
    <xf numFmtId="165" fontId="190" fillId="0" borderId="3" xfId="5353" applyNumberFormat="1" applyFont="1" applyFill="1" applyBorder="1"/>
    <xf numFmtId="168" fontId="190" fillId="0" borderId="8" xfId="5354" applyNumberFormat="1" applyFont="1" applyFill="1" applyBorder="1"/>
    <xf numFmtId="171" fontId="187" fillId="0" borderId="0" xfId="5352" applyNumberFormat="1" applyFont="1" applyFill="1" applyBorder="1"/>
    <xf numFmtId="165" fontId="187" fillId="0" borderId="0" xfId="42" applyNumberFormat="1" applyFont="1" applyFill="1" applyBorder="1"/>
    <xf numFmtId="170" fontId="190" fillId="0" borderId="0" xfId="312" applyNumberFormat="1" applyFont="1" applyFill="1" applyBorder="1"/>
    <xf numFmtId="171" fontId="190" fillId="0" borderId="0" xfId="5352" applyNumberFormat="1" applyFont="1" applyFill="1" applyBorder="1"/>
    <xf numFmtId="168" fontId="190" fillId="0" borderId="0" xfId="5354" applyNumberFormat="1" applyFont="1" applyFill="1" applyBorder="1" applyAlignment="1"/>
    <xf numFmtId="168" fontId="187" fillId="0" borderId="36" xfId="5352" applyNumberFormat="1" applyFont="1" applyFill="1" applyBorder="1" applyAlignment="1"/>
    <xf numFmtId="170" fontId="190" fillId="0" borderId="0" xfId="312" applyNumberFormat="1" applyFont="1" applyFill="1" applyBorder="1" applyAlignment="1"/>
    <xf numFmtId="170" fontId="187" fillId="0" borderId="36" xfId="312" applyNumberFormat="1" applyFont="1" applyFill="1" applyBorder="1" applyAlignment="1"/>
    <xf numFmtId="170" fontId="187" fillId="0" borderId="0" xfId="312" applyNumberFormat="1" applyFont="1" applyFill="1" applyBorder="1" applyAlignment="1"/>
    <xf numFmtId="170" fontId="187" fillId="0" borderId="0" xfId="312" applyNumberFormat="1" applyFont="1" applyFill="1" applyBorder="1"/>
    <xf numFmtId="170" fontId="190" fillId="0" borderId="1" xfId="312" applyNumberFormat="1" applyFont="1" applyFill="1" applyBorder="1"/>
    <xf numFmtId="170" fontId="190" fillId="0" borderId="1" xfId="312" applyNumberFormat="1" applyFont="1" applyFill="1" applyBorder="1" applyAlignment="1"/>
    <xf numFmtId="170" fontId="187" fillId="0" borderId="21" xfId="312" applyNumberFormat="1" applyFont="1" applyFill="1" applyBorder="1" applyAlignment="1"/>
    <xf numFmtId="0" fontId="191" fillId="0" borderId="40" xfId="5354" applyNumberFormat="1" applyFont="1" applyBorder="1" applyAlignment="1">
      <alignment horizontal="center"/>
    </xf>
    <xf numFmtId="38" fontId="189" fillId="0" borderId="2" xfId="5351" applyNumberFormat="1" applyFont="1" applyBorder="1"/>
    <xf numFmtId="38" fontId="189" fillId="0" borderId="0" xfId="5351" applyNumberFormat="1" applyFont="1" applyBorder="1"/>
    <xf numFmtId="38" fontId="187" fillId="0" borderId="2" xfId="5351" applyNumberFormat="1" applyFont="1" applyBorder="1"/>
    <xf numFmtId="38" fontId="187" fillId="0" borderId="0" xfId="5351" applyNumberFormat="1" applyFont="1" applyBorder="1"/>
    <xf numFmtId="38" fontId="187" fillId="0" borderId="41" xfId="5352" applyNumberFormat="1" applyFont="1" applyBorder="1"/>
    <xf numFmtId="38" fontId="187" fillId="0" borderId="19" xfId="5352" applyNumberFormat="1" applyFont="1" applyBorder="1"/>
    <xf numFmtId="38" fontId="187" fillId="0" borderId="26" xfId="5352" applyNumberFormat="1" applyFont="1" applyBorder="1"/>
    <xf numFmtId="38" fontId="187" fillId="0" borderId="28" xfId="5352" applyNumberFormat="1" applyFont="1" applyBorder="1"/>
    <xf numFmtId="38" fontId="187" fillId="0" borderId="0" xfId="5352" applyNumberFormat="1" applyFont="1" applyBorder="1"/>
    <xf numFmtId="38" fontId="187" fillId="0" borderId="2" xfId="5352" applyNumberFormat="1" applyFont="1" applyBorder="1"/>
    <xf numFmtId="38" fontId="192" fillId="0" borderId="0" xfId="5352" applyNumberFormat="1" applyFont="1" applyFill="1"/>
    <xf numFmtId="38" fontId="187" fillId="0" borderId="42" xfId="5352" applyNumberFormat="1" applyFont="1" applyBorder="1"/>
    <xf numFmtId="38" fontId="189" fillId="0" borderId="41" xfId="5352" applyNumberFormat="1" applyFont="1" applyBorder="1"/>
    <xf numFmtId="38" fontId="189" fillId="0" borderId="19" xfId="5352" applyNumberFormat="1" applyFont="1" applyBorder="1"/>
    <xf numFmtId="38" fontId="189" fillId="0" borderId="28" xfId="5351" applyNumberFormat="1" applyFont="1" applyBorder="1"/>
    <xf numFmtId="38" fontId="189" fillId="0" borderId="26" xfId="5352" applyNumberFormat="1" applyFont="1" applyBorder="1"/>
    <xf numFmtId="0" fontId="148" fillId="0" borderId="0" xfId="0" applyFont="1" applyFill="1" applyAlignment="1">
      <alignment vertical="center"/>
    </xf>
    <xf numFmtId="8" fontId="193" fillId="0" borderId="0" xfId="0" applyNumberFormat="1" applyFont="1" applyFill="1" applyBorder="1" applyAlignment="1">
      <alignment horizontal="center" vertical="center"/>
    </xf>
    <xf numFmtId="166" fontId="148" fillId="0" borderId="0" xfId="0" applyNumberFormat="1" applyFont="1" applyFill="1" applyBorder="1" applyAlignment="1">
      <alignment horizontal="center" vertical="center"/>
    </xf>
    <xf numFmtId="165" fontId="148" fillId="0" borderId="0" xfId="0" applyNumberFormat="1" applyFont="1" applyFill="1" applyAlignment="1">
      <alignment horizontal="center" vertical="center"/>
    </xf>
    <xf numFmtId="0" fontId="148" fillId="0" borderId="0" xfId="0" applyFont="1" applyFill="1" applyAlignment="1">
      <alignment horizontal="right" vertical="center"/>
    </xf>
    <xf numFmtId="0" fontId="148" fillId="0" borderId="0" xfId="0" applyFont="1" applyFill="1" applyAlignment="1">
      <alignment horizontal="center" vertical="center"/>
    </xf>
    <xf numFmtId="0" fontId="148" fillId="33" borderId="0" xfId="0" applyFont="1" applyFill="1" applyAlignment="1">
      <alignment horizontal="right" vertical="center"/>
    </xf>
    <xf numFmtId="0" fontId="150" fillId="0" borderId="0" xfId="0" applyFont="1" applyFill="1" applyAlignment="1">
      <alignment vertical="center"/>
    </xf>
    <xf numFmtId="8" fontId="193" fillId="0" borderId="43" xfId="0" applyNumberFormat="1" applyFont="1" applyFill="1" applyBorder="1" applyAlignment="1">
      <alignment horizontal="right" vertical="center"/>
    </xf>
    <xf numFmtId="0" fontId="148" fillId="0" borderId="43" xfId="0" applyFont="1" applyFill="1" applyBorder="1" applyAlignment="1">
      <alignment horizontal="center" vertical="center"/>
    </xf>
    <xf numFmtId="0" fontId="195" fillId="33" borderId="43" xfId="0" applyFont="1" applyFill="1" applyBorder="1" applyAlignment="1">
      <alignment horizontal="right" vertical="center"/>
    </xf>
    <xf numFmtId="0" fontId="195" fillId="0" borderId="43" xfId="0" applyFont="1" applyFill="1" applyBorder="1" applyAlignment="1">
      <alignment vertical="center"/>
    </xf>
    <xf numFmtId="8" fontId="149" fillId="0" borderId="0" xfId="0" applyNumberFormat="1" applyFont="1" applyFill="1" applyAlignment="1">
      <alignment horizontal="right" vertical="center"/>
    </xf>
    <xf numFmtId="0" fontId="149" fillId="33" borderId="0" xfId="0" applyFont="1" applyFill="1" applyAlignment="1">
      <alignment horizontal="right" vertical="center"/>
    </xf>
    <xf numFmtId="0" fontId="149" fillId="0" borderId="0" xfId="0" applyFont="1" applyFill="1" applyAlignment="1">
      <alignment horizontal="left" vertical="center"/>
    </xf>
    <xf numFmtId="8" fontId="148" fillId="0" borderId="1" xfId="0" applyNumberFormat="1" applyFont="1" applyFill="1" applyBorder="1" applyAlignment="1">
      <alignment horizontal="right" vertical="center"/>
    </xf>
    <xf numFmtId="8" fontId="148" fillId="0" borderId="0" xfId="0" applyNumberFormat="1" applyFont="1" applyFill="1" applyAlignment="1">
      <alignment horizontal="right" vertical="center"/>
    </xf>
    <xf numFmtId="0" fontId="0" fillId="33" borderId="0" xfId="0" applyFill="1"/>
    <xf numFmtId="0" fontId="80" fillId="33" borderId="0" xfId="1490" applyFill="1"/>
    <xf numFmtId="0" fontId="75" fillId="33" borderId="0" xfId="1560" applyFill="1"/>
    <xf numFmtId="43" fontId="149" fillId="0" borderId="0" xfId="0" applyNumberFormat="1" applyFont="1" applyFill="1" applyAlignment="1">
      <alignment vertical="center" readingOrder="1"/>
    </xf>
    <xf numFmtId="176" fontId="149" fillId="0" borderId="0" xfId="0" applyNumberFormat="1" applyFont="1" applyFill="1" applyAlignment="1">
      <alignment horizontal="center" vertical="center"/>
    </xf>
    <xf numFmtId="165" fontId="148" fillId="0" borderId="0" xfId="0" applyNumberFormat="1" applyFont="1" applyFill="1" applyAlignment="1">
      <alignment vertical="center"/>
    </xf>
    <xf numFmtId="8" fontId="148" fillId="33" borderId="0" xfId="0" applyNumberFormat="1" applyFont="1" applyFill="1" applyAlignment="1">
      <alignment horizontal="right" vertical="center"/>
    </xf>
    <xf numFmtId="0" fontId="148" fillId="0" borderId="0" xfId="0" applyFont="1" applyFill="1" applyAlignment="1">
      <alignment horizontal="left" vertical="center"/>
    </xf>
    <xf numFmtId="166" fontId="193" fillId="0" borderId="0" xfId="0" applyNumberFormat="1" applyFont="1" applyFill="1" applyBorder="1" applyAlignment="1">
      <alignment horizontal="center" vertical="center"/>
    </xf>
    <xf numFmtId="165" fontId="196" fillId="0" borderId="0" xfId="0" applyNumberFormat="1" applyFont="1" applyFill="1" applyBorder="1" applyAlignment="1">
      <alignment horizontal="center" vertical="center"/>
    </xf>
    <xf numFmtId="14" fontId="196" fillId="0" borderId="0" xfId="0" applyNumberFormat="1" applyFont="1" applyFill="1" applyAlignment="1">
      <alignment horizontal="left" vertical="center"/>
    </xf>
    <xf numFmtId="176" fontId="149" fillId="0" borderId="43" xfId="0" applyNumberFormat="1" applyFont="1" applyFill="1" applyBorder="1" applyAlignment="1">
      <alignment horizontal="right" vertical="center"/>
    </xf>
    <xf numFmtId="164" fontId="196" fillId="0" borderId="0" xfId="0" applyNumberFormat="1" applyFont="1" applyFill="1" applyAlignment="1">
      <alignment horizontal="center" vertical="center"/>
    </xf>
    <xf numFmtId="0" fontId="197" fillId="0" borderId="0" xfId="0" applyFont="1" applyFill="1" applyAlignment="1">
      <alignment horizontal="right" vertical="center"/>
    </xf>
    <xf numFmtId="4" fontId="196" fillId="0" borderId="0" xfId="0" applyNumberFormat="1" applyFont="1" applyFill="1" applyAlignment="1">
      <alignment horizontal="right" vertical="center"/>
    </xf>
    <xf numFmtId="14" fontId="196" fillId="0" borderId="0" xfId="0" applyNumberFormat="1" applyFont="1" applyFill="1" applyAlignment="1">
      <alignment horizontal="center" vertical="center"/>
    </xf>
    <xf numFmtId="0" fontId="196" fillId="33" borderId="0" xfId="0" applyFont="1" applyFill="1" applyAlignment="1">
      <alignment horizontal="right" vertical="center"/>
    </xf>
    <xf numFmtId="0" fontId="196" fillId="0" borderId="0" xfId="0" applyFont="1" applyFill="1" applyAlignment="1">
      <alignment horizontal="left" vertical="center"/>
    </xf>
    <xf numFmtId="176" fontId="149" fillId="0" borderId="0" xfId="0" applyNumberFormat="1" applyFont="1" applyFill="1" applyAlignment="1">
      <alignment horizontal="right" vertical="center"/>
    </xf>
    <xf numFmtId="14" fontId="148" fillId="0" borderId="0" xfId="0" applyNumberFormat="1" applyFont="1" applyFill="1" applyAlignment="1">
      <alignment horizontal="center" vertical="center"/>
    </xf>
    <xf numFmtId="176" fontId="148" fillId="0" borderId="0" xfId="0" applyNumberFormat="1" applyFont="1" applyFill="1" applyAlignment="1">
      <alignment horizontal="right" vertical="center"/>
    </xf>
    <xf numFmtId="0" fontId="198" fillId="33" borderId="0" xfId="0" applyFont="1" applyFill="1" applyAlignment="1">
      <alignment horizontal="right" vertical="center"/>
    </xf>
    <xf numFmtId="0" fontId="198" fillId="0" borderId="0" xfId="0" applyFont="1" applyFill="1" applyAlignment="1">
      <alignment horizontal="left" vertical="center"/>
    </xf>
    <xf numFmtId="177" fontId="148" fillId="33" borderId="0" xfId="0" applyNumberFormat="1" applyFont="1" applyFill="1" applyAlignment="1">
      <alignment horizontal="center" vertical="center"/>
    </xf>
    <xf numFmtId="165" fontId="148" fillId="37" borderId="0" xfId="0" applyNumberFormat="1" applyFont="1" applyFill="1" applyAlignment="1">
      <alignment horizontal="center" vertical="center"/>
    </xf>
    <xf numFmtId="0" fontId="83" fillId="33" borderId="0" xfId="1448" applyFill="1"/>
    <xf numFmtId="0" fontId="53" fillId="33" borderId="0" xfId="1868" applyFill="1"/>
    <xf numFmtId="0" fontId="151" fillId="33" borderId="0" xfId="39" applyFill="1"/>
    <xf numFmtId="0" fontId="193" fillId="0" borderId="0" xfId="0" applyFont="1" applyFill="1" applyBorder="1" applyAlignment="1">
      <alignment horizontal="center" vertical="center"/>
    </xf>
    <xf numFmtId="0" fontId="150" fillId="0" borderId="0" xfId="0" applyFont="1" applyFill="1" applyAlignment="1">
      <alignment horizontal="right" vertical="center"/>
    </xf>
    <xf numFmtId="0" fontId="43" fillId="33" borderId="0" xfId="5141" applyFill="1"/>
    <xf numFmtId="0" fontId="150" fillId="0" borderId="0" xfId="0" applyFont="1" applyFill="1" applyAlignment="1">
      <alignment horizontal="right"/>
    </xf>
    <xf numFmtId="0" fontId="199" fillId="33" borderId="0" xfId="46" applyFont="1" applyFill="1"/>
    <xf numFmtId="0" fontId="150" fillId="0" borderId="0" xfId="0" applyFont="1" applyFill="1" applyAlignment="1">
      <alignment horizontal="center"/>
    </xf>
    <xf numFmtId="8" fontId="148" fillId="0" borderId="0" xfId="10783" applyNumberFormat="1" applyFont="1" applyFill="1" applyBorder="1"/>
    <xf numFmtId="165" fontId="148" fillId="33" borderId="0" xfId="0" applyNumberFormat="1" applyFont="1" applyFill="1" applyAlignment="1">
      <alignment horizontal="center" vertical="center"/>
    </xf>
    <xf numFmtId="165" fontId="194" fillId="38" borderId="44" xfId="0" applyNumberFormat="1" applyFont="1" applyFill="1" applyBorder="1" applyAlignment="1">
      <alignment horizontal="center" vertical="center"/>
    </xf>
    <xf numFmtId="165" fontId="148" fillId="38" borderId="45" xfId="0" applyNumberFormat="1" applyFont="1" applyFill="1" applyBorder="1" applyAlignment="1">
      <alignment horizontal="center" vertical="center"/>
    </xf>
    <xf numFmtId="176" fontId="148" fillId="0" borderId="0" xfId="0" applyNumberFormat="1" applyFont="1" applyFill="1" applyAlignment="1">
      <alignment vertical="center"/>
    </xf>
    <xf numFmtId="165" fontId="149" fillId="37" borderId="0" xfId="0" applyNumberFormat="1" applyFont="1" applyFill="1" applyAlignment="1">
      <alignment horizontal="center" vertical="center"/>
    </xf>
    <xf numFmtId="166" fontId="148" fillId="37" borderId="0" xfId="0" applyNumberFormat="1" applyFont="1" applyFill="1" applyBorder="1" applyAlignment="1">
      <alignment horizontal="center" vertical="center"/>
    </xf>
    <xf numFmtId="14" fontId="196" fillId="0" borderId="0" xfId="0" applyNumberFormat="1" applyFont="1" applyFill="1" applyAlignment="1">
      <alignment horizontal="right" vertical="center"/>
    </xf>
    <xf numFmtId="0" fontId="201" fillId="0" borderId="0" xfId="0" applyFont="1" applyFill="1" applyAlignment="1">
      <alignment horizontal="right" vertical="center"/>
    </xf>
    <xf numFmtId="10" fontId="195" fillId="0" borderId="0" xfId="0" applyNumberFormat="1" applyFont="1" applyFill="1" applyAlignment="1">
      <alignment horizontal="center" vertical="center"/>
    </xf>
    <xf numFmtId="0" fontId="201" fillId="33" borderId="0" xfId="0" applyFont="1" applyFill="1" applyAlignment="1">
      <alignment horizontal="right" vertical="center"/>
    </xf>
    <xf numFmtId="0" fontId="201" fillId="0" borderId="0" xfId="0" applyFont="1" applyFill="1" applyAlignment="1">
      <alignment vertical="center"/>
    </xf>
    <xf numFmtId="0" fontId="202" fillId="0" borderId="0" xfId="0" applyFont="1" applyFill="1" applyAlignment="1">
      <alignment horizontal="center" vertical="center"/>
    </xf>
    <xf numFmtId="165" fontId="149" fillId="0" borderId="0" xfId="0" applyNumberFormat="1" applyFont="1" applyFill="1" applyAlignment="1">
      <alignment horizontal="right" vertical="center"/>
    </xf>
    <xf numFmtId="166" fontId="149" fillId="0" borderId="0" xfId="0" applyNumberFormat="1" applyFont="1" applyFill="1" applyAlignment="1">
      <alignment horizontal="right" vertical="center"/>
    </xf>
    <xf numFmtId="0" fontId="203" fillId="0" borderId="0" xfId="0" applyFont="1" applyFill="1" applyAlignment="1">
      <alignment horizontal="right" vertical="center"/>
    </xf>
    <xf numFmtId="176" fontId="149" fillId="0" borderId="1" xfId="0" applyNumberFormat="1" applyFont="1" applyFill="1" applyBorder="1" applyAlignment="1">
      <alignment horizontal="right" vertical="center"/>
    </xf>
    <xf numFmtId="176" fontId="148" fillId="0" borderId="0" xfId="0" applyNumberFormat="1" applyFont="1" applyFill="1" applyBorder="1" applyAlignment="1">
      <alignment horizontal="right" vertical="center"/>
    </xf>
    <xf numFmtId="164" fontId="148" fillId="0" borderId="0" xfId="0" applyNumberFormat="1" applyFont="1" applyFill="1" applyAlignment="1">
      <alignment horizontal="left" vertical="center"/>
    </xf>
    <xf numFmtId="0" fontId="47" fillId="33" borderId="0" xfId="5085" applyFill="1"/>
    <xf numFmtId="0" fontId="29" fillId="33" borderId="0" xfId="5337" applyFill="1"/>
    <xf numFmtId="0" fontId="34" fillId="33" borderId="0" xfId="5267" applyFill="1"/>
    <xf numFmtId="10" fontId="148" fillId="0" borderId="0" xfId="42" applyNumberFormat="1" applyFont="1" applyFill="1" applyAlignment="1">
      <alignment vertical="center"/>
    </xf>
    <xf numFmtId="176" fontId="148" fillId="0" borderId="1" xfId="0" applyNumberFormat="1" applyFont="1" applyFill="1" applyBorder="1" applyAlignment="1">
      <alignment horizontal="right" vertical="center"/>
    </xf>
    <xf numFmtId="1" fontId="148" fillId="33" borderId="0" xfId="0" applyNumberFormat="1" applyFont="1" applyFill="1" applyAlignment="1">
      <alignment horizontal="right" vertical="center"/>
    </xf>
    <xf numFmtId="165" fontId="195" fillId="0" borderId="0" xfId="0" applyNumberFormat="1" applyFont="1" applyFill="1" applyBorder="1" applyAlignment="1">
      <alignment horizontal="center" vertical="center"/>
    </xf>
    <xf numFmtId="0" fontId="196" fillId="0" borderId="0" xfId="0" applyFont="1" applyFill="1" applyAlignment="1">
      <alignment horizontal="right" vertical="center"/>
    </xf>
    <xf numFmtId="10" fontId="148" fillId="0" borderId="0" xfId="42" applyNumberFormat="1" applyFont="1" applyFill="1" applyAlignment="1">
      <alignment horizontal="right" vertical="center"/>
    </xf>
    <xf numFmtId="164" fontId="196" fillId="0" borderId="0" xfId="0" applyNumberFormat="1" applyFont="1" applyFill="1" applyBorder="1" applyAlignment="1">
      <alignment horizontal="center" vertical="center"/>
    </xf>
    <xf numFmtId="166" fontId="149" fillId="0" borderId="0" xfId="0" applyNumberFormat="1" applyFont="1" applyFill="1" applyBorder="1" applyAlignment="1">
      <alignment horizontal="right" vertical="center"/>
    </xf>
    <xf numFmtId="164" fontId="148" fillId="0" borderId="0" xfId="0" applyNumberFormat="1" applyFont="1" applyFill="1" applyAlignment="1">
      <alignment horizontal="center" vertical="center"/>
    </xf>
    <xf numFmtId="166" fontId="149" fillId="0" borderId="0" xfId="0" applyNumberFormat="1" applyFont="1" applyFill="1" applyBorder="1" applyAlignment="1">
      <alignment horizontal="center" vertical="center"/>
    </xf>
    <xf numFmtId="166" fontId="148" fillId="0" borderId="1" xfId="0" applyNumberFormat="1" applyFont="1" applyFill="1" applyBorder="1" applyAlignment="1">
      <alignment horizontal="right" vertical="center"/>
    </xf>
    <xf numFmtId="166" fontId="148" fillId="0" borderId="0" xfId="0" applyNumberFormat="1" applyFont="1" applyFill="1" applyBorder="1" applyAlignment="1">
      <alignment horizontal="right" vertical="center"/>
    </xf>
    <xf numFmtId="0" fontId="64" fillId="33" borderId="0" xfId="1714" applyFill="1"/>
    <xf numFmtId="0" fontId="50" fillId="33" borderId="0" xfId="1910" applyFill="1"/>
    <xf numFmtId="0" fontId="128" fillId="33" borderId="0" xfId="313" applyFill="1"/>
    <xf numFmtId="165" fontId="201" fillId="0" borderId="0" xfId="0" applyNumberFormat="1" applyFont="1" applyFill="1" applyAlignment="1">
      <alignment horizontal="center" vertical="center"/>
    </xf>
    <xf numFmtId="0" fontId="201" fillId="0" borderId="0" xfId="0" applyFont="1" applyFill="1" applyAlignment="1">
      <alignment horizontal="center" vertical="center"/>
    </xf>
    <xf numFmtId="0" fontId="149" fillId="0" borderId="0" xfId="0" applyFont="1" applyFill="1" applyAlignment="1">
      <alignment vertical="center"/>
    </xf>
    <xf numFmtId="0" fontId="35" fillId="33" borderId="0" xfId="5253" applyFill="1"/>
    <xf numFmtId="0" fontId="31" fillId="33" borderId="0" xfId="5309" applyFill="1"/>
    <xf numFmtId="0" fontId="36" fillId="33" borderId="0" xfId="5239" applyFill="1"/>
    <xf numFmtId="0" fontId="61" fillId="33" borderId="0" xfId="1756" applyFill="1"/>
    <xf numFmtId="176" fontId="149" fillId="0" borderId="0" xfId="0" applyNumberFormat="1" applyFont="1" applyFill="1" applyBorder="1" applyAlignment="1">
      <alignment horizontal="right" vertical="center"/>
    </xf>
    <xf numFmtId="0" fontId="121" fillId="33" borderId="0" xfId="411" applyFill="1"/>
    <xf numFmtId="0" fontId="134" fillId="0" borderId="0" xfId="228" applyFill="1"/>
    <xf numFmtId="0" fontId="45" fillId="33" borderId="0" xfId="5113" applyFill="1"/>
    <xf numFmtId="0" fontId="51" fillId="33" borderId="0" xfId="1896" applyFill="1"/>
    <xf numFmtId="0" fontId="39" fillId="33" borderId="0" xfId="5197" applyFill="1"/>
    <xf numFmtId="0" fontId="56" fillId="33" borderId="0" xfId="1826" applyFill="1"/>
    <xf numFmtId="0" fontId="66" fillId="33" borderId="0" xfId="1686" applyFill="1"/>
    <xf numFmtId="0" fontId="114" fillId="33" borderId="0" xfId="1014" applyFill="1"/>
    <xf numFmtId="0" fontId="115" fillId="33" borderId="0" xfId="495" applyFill="1"/>
    <xf numFmtId="0" fontId="59" fillId="33" borderId="0" xfId="1784" applyFill="1"/>
    <xf numFmtId="165" fontId="201" fillId="37" borderId="0" xfId="0" applyNumberFormat="1" applyFont="1" applyFill="1" applyAlignment="1">
      <alignment horizontal="center" vertical="center"/>
    </xf>
    <xf numFmtId="0" fontId="204" fillId="0" borderId="0" xfId="0" applyFont="1" applyFill="1" applyAlignment="1">
      <alignment horizontal="left" vertical="center"/>
    </xf>
    <xf numFmtId="0" fontId="205" fillId="0" borderId="0" xfId="1602" applyFont="1" applyFill="1"/>
    <xf numFmtId="0" fontId="33" fillId="33" borderId="0" xfId="5281" applyFill="1"/>
    <xf numFmtId="0" fontId="25" fillId="33" borderId="0" xfId="10713" applyFill="1"/>
    <xf numFmtId="0" fontId="205" fillId="0" borderId="0" xfId="5267" applyFont="1"/>
    <xf numFmtId="0" fontId="37" fillId="33" borderId="0" xfId="5225" applyFill="1"/>
    <xf numFmtId="0" fontId="42" fillId="33" borderId="0" xfId="5155" applyFill="1"/>
    <xf numFmtId="0" fontId="48" fillId="33" borderId="0" xfId="5071" applyFill="1"/>
    <xf numFmtId="0" fontId="38" fillId="33" borderId="0" xfId="5211" applyFill="1"/>
    <xf numFmtId="0" fontId="135" fillId="33" borderId="0" xfId="214" applyFill="1"/>
    <xf numFmtId="0" fontId="123" fillId="33" borderId="0" xfId="383" applyFill="1"/>
    <xf numFmtId="0" fontId="141" fillId="33" borderId="0" xfId="130" applyFill="1"/>
    <xf numFmtId="0" fontId="68" fillId="33" borderId="0" xfId="1658" applyFill="1"/>
    <xf numFmtId="0" fontId="72" fillId="33" borderId="0" xfId="1602" applyFill="1"/>
    <xf numFmtId="0" fontId="52" fillId="33" borderId="0" xfId="1882" applyFill="1"/>
    <xf numFmtId="0" fontId="71" fillId="33" borderId="0" xfId="1616" applyFill="1"/>
    <xf numFmtId="0" fontId="65" fillId="33" borderId="0" xfId="1700" applyFill="1"/>
    <xf numFmtId="0" fontId="69" fillId="33" borderId="0" xfId="1644" applyFill="1"/>
    <xf numFmtId="0" fontId="44" fillId="33" borderId="0" xfId="5127" applyFill="1"/>
    <xf numFmtId="0" fontId="49" fillId="33" borderId="0" xfId="4601" applyFill="1"/>
    <xf numFmtId="0" fontId="55" fillId="33" borderId="0" xfId="1840" applyFill="1"/>
    <xf numFmtId="0" fontId="32" fillId="33" borderId="0" xfId="5295" applyFill="1"/>
    <xf numFmtId="0" fontId="57" fillId="33" borderId="0" xfId="1812" applyFill="1"/>
    <xf numFmtId="0" fontId="60" fillId="33" borderId="0" xfId="1770" applyFill="1"/>
    <xf numFmtId="0" fontId="85" fillId="33" borderId="0" xfId="1420" applyFill="1"/>
    <xf numFmtId="0" fontId="148" fillId="33" borderId="0" xfId="0" applyFont="1" applyFill="1"/>
    <xf numFmtId="0" fontId="124" fillId="33" borderId="0" xfId="369" applyFill="1"/>
    <xf numFmtId="0" fontId="113" fillId="33" borderId="0" xfId="1028" applyFill="1"/>
    <xf numFmtId="0" fontId="193" fillId="0" borderId="0" xfId="0" applyFont="1" applyFill="1" applyAlignment="1">
      <alignment horizontal="center" vertical="center"/>
    </xf>
    <xf numFmtId="166" fontId="149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4" fillId="33" borderId="0" xfId="10727" applyFill="1"/>
    <xf numFmtId="0" fontId="22" fillId="33" borderId="0" xfId="10755" applyFill="1"/>
    <xf numFmtId="0" fontId="41" fillId="33" borderId="0" xfId="5169" applyFill="1"/>
    <xf numFmtId="166" fontId="149" fillId="0" borderId="7" xfId="0" applyNumberFormat="1" applyFont="1" applyFill="1" applyBorder="1" applyAlignment="1">
      <alignment horizontal="right" vertical="center"/>
    </xf>
    <xf numFmtId="178" fontId="148" fillId="0" borderId="0" xfId="0" applyNumberFormat="1" applyFont="1" applyFill="1" applyAlignment="1">
      <alignment horizontal="center" vertical="center"/>
    </xf>
    <xf numFmtId="0" fontId="148" fillId="33" borderId="0" xfId="0" applyFont="1" applyFill="1" applyAlignment="1">
      <alignment vertical="center"/>
    </xf>
    <xf numFmtId="165" fontId="198" fillId="0" borderId="0" xfId="0" applyNumberFormat="1" applyFont="1" applyFill="1" applyAlignment="1">
      <alignment horizontal="center" vertical="center"/>
    </xf>
    <xf numFmtId="166" fontId="198" fillId="0" borderId="0" xfId="0" applyNumberFormat="1" applyFont="1" applyFill="1" applyBorder="1" applyAlignment="1">
      <alignment horizontal="right" vertical="center"/>
    </xf>
    <xf numFmtId="164" fontId="202" fillId="0" borderId="0" xfId="0" applyNumberFormat="1" applyFont="1" applyFill="1" applyAlignment="1">
      <alignment horizontal="center" vertical="center"/>
    </xf>
    <xf numFmtId="14" fontId="194" fillId="0" borderId="0" xfId="0" applyNumberFormat="1" applyFont="1" applyFill="1" applyAlignment="1">
      <alignment horizontal="center" vertical="center"/>
    </xf>
    <xf numFmtId="0" fontId="206" fillId="0" borderId="0" xfId="0" applyFont="1" applyFill="1" applyBorder="1" applyAlignment="1">
      <alignment horizontal="right" vertical="center"/>
    </xf>
    <xf numFmtId="0" fontId="148" fillId="0" borderId="0" xfId="0" applyFont="1" applyFill="1" applyBorder="1" applyAlignment="1">
      <alignment horizontal="center" vertical="center"/>
    </xf>
    <xf numFmtId="0" fontId="91" fillId="33" borderId="0" xfId="1336" applyFill="1"/>
    <xf numFmtId="0" fontId="23" fillId="33" borderId="0" xfId="10741" applyFill="1"/>
    <xf numFmtId="0" fontId="30" fillId="33" borderId="0" xfId="5323" applyFill="1"/>
    <xf numFmtId="0" fontId="148" fillId="0" borderId="0" xfId="0" applyFont="1" applyFill="1" applyBorder="1" applyAlignment="1">
      <alignment vertical="center"/>
    </xf>
    <xf numFmtId="165" fontId="149" fillId="0" borderId="0" xfId="0" applyNumberFormat="1" applyFont="1" applyFill="1" applyBorder="1" applyAlignment="1">
      <alignment horizontal="right" vertical="center"/>
    </xf>
    <xf numFmtId="0" fontId="148" fillId="33" borderId="0" xfId="0" applyFont="1" applyFill="1" applyBorder="1" applyAlignment="1">
      <alignment horizontal="right" vertical="center"/>
    </xf>
    <xf numFmtId="0" fontId="198" fillId="0" borderId="0" xfId="0" applyFont="1" applyFill="1" applyAlignment="1">
      <alignment horizontal="right" vertical="center"/>
    </xf>
    <xf numFmtId="0" fontId="198" fillId="0" borderId="0" xfId="0" applyFont="1" applyFill="1" applyAlignment="1">
      <alignment horizontal="center" vertical="center"/>
    </xf>
    <xf numFmtId="0" fontId="198" fillId="0" borderId="0" xfId="0" applyFont="1" applyFill="1" applyAlignment="1">
      <alignment vertical="center"/>
    </xf>
    <xf numFmtId="0" fontId="203" fillId="0" borderId="0" xfId="0" applyFont="1" applyFill="1" applyBorder="1" applyAlignment="1">
      <alignment horizontal="right" vertical="center"/>
    </xf>
    <xf numFmtId="165" fontId="201" fillId="37" borderId="0" xfId="42" applyNumberFormat="1" applyFont="1" applyFill="1" applyAlignment="1">
      <alignment horizontal="center" vertical="center"/>
    </xf>
    <xf numFmtId="166" fontId="201" fillId="0" borderId="0" xfId="0" applyNumberFormat="1" applyFont="1" applyFill="1" applyBorder="1" applyAlignment="1">
      <alignment horizontal="center" vertical="center"/>
    </xf>
    <xf numFmtId="0" fontId="201" fillId="33" borderId="0" xfId="0" applyFont="1" applyFill="1" applyAlignment="1">
      <alignment horizontal="center" vertical="center"/>
    </xf>
    <xf numFmtId="0" fontId="148" fillId="33" borderId="0" xfId="0" applyFont="1" applyFill="1" applyAlignment="1">
      <alignment horizontal="center" vertical="center"/>
    </xf>
    <xf numFmtId="0" fontId="203" fillId="0" borderId="0" xfId="0" applyFont="1" applyFill="1" applyAlignment="1">
      <alignment horizontal="center" vertical="center"/>
    </xf>
    <xf numFmtId="14" fontId="149" fillId="33" borderId="0" xfId="0" applyNumberFormat="1" applyFont="1" applyFill="1" applyAlignment="1">
      <alignment horizontal="center" vertical="center"/>
    </xf>
    <xf numFmtId="0" fontId="207" fillId="0" borderId="0" xfId="0" applyFont="1" applyFill="1" applyAlignment="1">
      <alignment horizontal="center" vertical="center"/>
    </xf>
    <xf numFmtId="0" fontId="20" fillId="0" borderId="0" xfId="10784"/>
    <xf numFmtId="0" fontId="17" fillId="0" borderId="0" xfId="10826"/>
    <xf numFmtId="0" fontId="16" fillId="0" borderId="0" xfId="10840"/>
    <xf numFmtId="0" fontId="16" fillId="0" borderId="0" xfId="10840"/>
    <xf numFmtId="0" fontId="0" fillId="36" borderId="0" xfId="0" applyFill="1" applyProtection="1">
      <protection locked="0"/>
    </xf>
    <xf numFmtId="0" fontId="16" fillId="36" borderId="0" xfId="10840" applyFill="1"/>
    <xf numFmtId="0" fontId="63" fillId="36" borderId="0" xfId="1728" applyFill="1" applyProtection="1">
      <protection locked="0"/>
    </xf>
    <xf numFmtId="0" fontId="148" fillId="39" borderId="0" xfId="0" applyFont="1" applyFill="1" applyAlignment="1" applyProtection="1">
      <alignment horizontal="center" wrapText="1"/>
    </xf>
    <xf numFmtId="173" fontId="0" fillId="39" borderId="0" xfId="42" applyNumberFormat="1" applyFont="1" applyFill="1" applyProtection="1"/>
    <xf numFmtId="0" fontId="0" fillId="39" borderId="0" xfId="0" applyFill="1" applyProtection="1"/>
    <xf numFmtId="0" fontId="15" fillId="0" borderId="0" xfId="10854"/>
    <xf numFmtId="0" fontId="14" fillId="0" borderId="0" xfId="10868"/>
    <xf numFmtId="0" fontId="13" fillId="0" borderId="0" xfId="10882"/>
    <xf numFmtId="0" fontId="12" fillId="0" borderId="0" xfId="10896"/>
    <xf numFmtId="0" fontId="12" fillId="0" borderId="0" xfId="10896"/>
    <xf numFmtId="14" fontId="12" fillId="0" borderId="0" xfId="10896" applyNumberFormat="1"/>
    <xf numFmtId="4" fontId="12" fillId="0" borderId="0" xfId="10896" applyNumberFormat="1"/>
    <xf numFmtId="0" fontId="9" fillId="0" borderId="0" xfId="10938"/>
    <xf numFmtId="176" fontId="148" fillId="0" borderId="1" xfId="0" applyNumberFormat="1" applyFont="1" applyFill="1" applyBorder="1" applyAlignment="1">
      <alignment vertical="center"/>
    </xf>
    <xf numFmtId="0" fontId="7" fillId="33" borderId="0" xfId="10966" applyFill="1"/>
    <xf numFmtId="0" fontId="6" fillId="33" borderId="0" xfId="10980" applyFill="1"/>
    <xf numFmtId="0" fontId="4" fillId="33" borderId="0" xfId="11008" applyFill="1"/>
    <xf numFmtId="0" fontId="12" fillId="33" borderId="0" xfId="10896" applyFill="1"/>
    <xf numFmtId="0" fontId="11" fillId="33" borderId="0" xfId="10910" applyFill="1"/>
    <xf numFmtId="0" fontId="16" fillId="33" borderId="0" xfId="10840" applyFill="1"/>
    <xf numFmtId="0" fontId="8" fillId="33" borderId="0" xfId="10952" applyFill="1"/>
    <xf numFmtId="0" fontId="14" fillId="33" borderId="0" xfId="10868" applyFill="1"/>
    <xf numFmtId="0" fontId="21" fillId="33" borderId="0" xfId="10769" applyFill="1"/>
    <xf numFmtId="0" fontId="9" fillId="33" borderId="0" xfId="10938" applyFill="1"/>
    <xf numFmtId="0" fontId="20" fillId="33" borderId="0" xfId="10784" applyFill="1"/>
    <xf numFmtId="0" fontId="15" fillId="33" borderId="0" xfId="10854" applyFill="1"/>
    <xf numFmtId="0" fontId="13" fillId="33" borderId="0" xfId="10882" applyFill="1"/>
    <xf numFmtId="0" fontId="10" fillId="33" borderId="0" xfId="10924" applyFill="1"/>
    <xf numFmtId="0" fontId="17" fillId="33" borderId="0" xfId="10826" applyFill="1"/>
    <xf numFmtId="0" fontId="3" fillId="33" borderId="0" xfId="11022" applyFill="1"/>
    <xf numFmtId="0" fontId="2" fillId="0" borderId="0" xfId="11036"/>
    <xf numFmtId="0" fontId="2" fillId="0" borderId="0" xfId="11036"/>
    <xf numFmtId="0" fontId="1" fillId="0" borderId="0" xfId="11050"/>
    <xf numFmtId="0" fontId="1" fillId="0" borderId="0" xfId="11050"/>
    <xf numFmtId="14" fontId="1" fillId="0" borderId="0" xfId="11050" applyNumberFormat="1"/>
    <xf numFmtId="3" fontId="1" fillId="0" borderId="0" xfId="11050" applyNumberFormat="1"/>
    <xf numFmtId="4" fontId="1" fillId="0" borderId="0" xfId="11050" applyNumberFormat="1"/>
    <xf numFmtId="0" fontId="1" fillId="0" borderId="0" xfId="11050"/>
    <xf numFmtId="14" fontId="1" fillId="0" borderId="0" xfId="11050" applyNumberFormat="1"/>
    <xf numFmtId="0" fontId="181" fillId="0" borderId="7" xfId="0" applyFont="1" applyBorder="1" applyAlignment="1">
      <alignment horizontal="center"/>
    </xf>
    <xf numFmtId="6" fontId="157" fillId="0" borderId="0" xfId="0" applyNumberFormat="1" applyFont="1" applyAlignment="1">
      <alignment horizontal="center"/>
    </xf>
    <xf numFmtId="0" fontId="160" fillId="0" borderId="6" xfId="0" applyFont="1" applyBorder="1" applyAlignment="1">
      <alignment horizontal="center"/>
    </xf>
    <xf numFmtId="0" fontId="160" fillId="0" borderId="7" xfId="0" applyFont="1" applyBorder="1" applyAlignment="1">
      <alignment horizontal="center"/>
    </xf>
    <xf numFmtId="0" fontId="160" fillId="0" borderId="8" xfId="0" applyFont="1" applyBorder="1" applyAlignment="1">
      <alignment horizontal="center"/>
    </xf>
    <xf numFmtId="0" fontId="189" fillId="0" borderId="25" xfId="5352" applyFont="1" applyBorder="1" applyAlignment="1">
      <alignment horizontal="center"/>
    </xf>
    <xf numFmtId="0" fontId="189" fillId="0" borderId="24" xfId="5352" applyFont="1" applyBorder="1" applyAlignment="1">
      <alignment horizontal="center"/>
    </xf>
    <xf numFmtId="0" fontId="189" fillId="0" borderId="23" xfId="5352" applyFont="1" applyBorder="1" applyAlignment="1">
      <alignment horizontal="center"/>
    </xf>
    <xf numFmtId="0" fontId="187" fillId="0" borderId="35" xfId="5352" applyFont="1" applyFill="1" applyBorder="1" applyAlignment="1">
      <alignment horizontal="center" vertical="top" wrapText="1"/>
    </xf>
    <xf numFmtId="0" fontId="187" fillId="0" borderId="0" xfId="5352" applyFont="1" applyFill="1" applyBorder="1" applyAlignment="1">
      <alignment horizontal="center" vertical="top" wrapText="1"/>
    </xf>
    <xf numFmtId="0" fontId="187" fillId="0" borderId="36" xfId="5352" applyFont="1" applyFill="1" applyBorder="1" applyAlignment="1">
      <alignment horizontal="center" vertical="top" wrapText="1"/>
    </xf>
    <xf numFmtId="0" fontId="187" fillId="0" borderId="20" xfId="5352" applyFont="1" applyFill="1" applyBorder="1" applyAlignment="1">
      <alignment horizontal="center" vertical="top" wrapText="1"/>
    </xf>
    <xf numFmtId="0" fontId="187" fillId="0" borderId="19" xfId="5352" applyFont="1" applyFill="1" applyBorder="1" applyAlignment="1">
      <alignment horizontal="center" vertical="top" wrapText="1"/>
    </xf>
    <xf numFmtId="0" fontId="187" fillId="0" borderId="18" xfId="5352" applyFont="1" applyFill="1" applyBorder="1" applyAlignment="1">
      <alignment horizontal="center" vertical="top" wrapText="1"/>
    </xf>
    <xf numFmtId="0" fontId="202" fillId="0" borderId="0" xfId="0" applyFont="1" applyFill="1" applyAlignment="1">
      <alignment horizontal="center" vertical="center"/>
    </xf>
    <xf numFmtId="0" fontId="207" fillId="0" borderId="0" xfId="0" applyFont="1" applyFill="1" applyAlignment="1">
      <alignment horizontal="center" vertical="center"/>
    </xf>
    <xf numFmtId="0" fontId="203" fillId="0" borderId="0" xfId="0" applyFont="1" applyFill="1" applyAlignment="1">
      <alignment horizontal="center" vertical="center"/>
    </xf>
    <xf numFmtId="0" fontId="194" fillId="0" borderId="0" xfId="0" applyFont="1" applyFill="1" applyAlignment="1">
      <alignment horizontal="center" vertical="justify" wrapText="1"/>
    </xf>
    <xf numFmtId="164" fontId="202" fillId="0" borderId="0" xfId="0" applyNumberFormat="1" applyFont="1" applyFill="1" applyAlignment="1">
      <alignment horizontal="center" vertical="center"/>
    </xf>
  </cellXfs>
  <cellStyles count="11064">
    <cellStyle name="20% - Accent1" xfId="1" builtinId="30" customBuiltin="1"/>
    <cellStyle name="20% - Accent1 10" xfId="160"/>
    <cellStyle name="20% - Accent1 10 2" xfId="637"/>
    <cellStyle name="20% - Accent1 10 2 2" xfId="3485"/>
    <cellStyle name="20% - Accent1 10 2 2 2" xfId="8818"/>
    <cellStyle name="20% - Accent1 10 2 3" xfId="1951"/>
    <cellStyle name="20% - Accent1 10 2 3 2" xfId="7285"/>
    <cellStyle name="20% - Accent1 10 2 4" xfId="5974"/>
    <cellStyle name="20% - Accent1 10 3" xfId="3486"/>
    <cellStyle name="20% - Accent1 10 3 2" xfId="8819"/>
    <cellStyle name="20% - Accent1 10 4" xfId="1950"/>
    <cellStyle name="20% - Accent1 10 4 2" xfId="7284"/>
    <cellStyle name="20% - Accent1 10 5" xfId="5498"/>
    <cellStyle name="20% - Accent1 100" xfId="1884"/>
    <cellStyle name="20% - Accent1 100 2" xfId="7220"/>
    <cellStyle name="20% - Accent1 101" xfId="1898"/>
    <cellStyle name="20% - Accent1 101 2" xfId="7234"/>
    <cellStyle name="20% - Accent1 102" xfId="1912"/>
    <cellStyle name="20% - Accent1 102 2" xfId="7248"/>
    <cellStyle name="20% - Accent1 103" xfId="5073"/>
    <cellStyle name="20% - Accent1 103 2" xfId="10404"/>
    <cellStyle name="20% - Accent1 104" xfId="5087"/>
    <cellStyle name="20% - Accent1 104 2" xfId="10418"/>
    <cellStyle name="20% - Accent1 105" xfId="5101"/>
    <cellStyle name="20% - Accent1 105 2" xfId="10432"/>
    <cellStyle name="20% - Accent1 106" xfId="5115"/>
    <cellStyle name="20% - Accent1 106 2" xfId="10446"/>
    <cellStyle name="20% - Accent1 107" xfId="5129"/>
    <cellStyle name="20% - Accent1 107 2" xfId="10460"/>
    <cellStyle name="20% - Accent1 108" xfId="5143"/>
    <cellStyle name="20% - Accent1 108 2" xfId="10474"/>
    <cellStyle name="20% - Accent1 109" xfId="5157"/>
    <cellStyle name="20% - Accent1 109 2" xfId="10488"/>
    <cellStyle name="20% - Accent1 11" xfId="174"/>
    <cellStyle name="20% - Accent1 11 2" xfId="651"/>
    <cellStyle name="20% - Accent1 11 2 2" xfId="3487"/>
    <cellStyle name="20% - Accent1 11 2 2 2" xfId="8820"/>
    <cellStyle name="20% - Accent1 11 2 3" xfId="1953"/>
    <cellStyle name="20% - Accent1 11 2 3 2" xfId="7287"/>
    <cellStyle name="20% - Accent1 11 2 4" xfId="5988"/>
    <cellStyle name="20% - Accent1 11 3" xfId="3488"/>
    <cellStyle name="20% - Accent1 11 3 2" xfId="8821"/>
    <cellStyle name="20% - Accent1 11 4" xfId="1952"/>
    <cellStyle name="20% - Accent1 11 4 2" xfId="7286"/>
    <cellStyle name="20% - Accent1 11 5" xfId="5512"/>
    <cellStyle name="20% - Accent1 110" xfId="5171"/>
    <cellStyle name="20% - Accent1 110 2" xfId="10502"/>
    <cellStyle name="20% - Accent1 111" xfId="5185"/>
    <cellStyle name="20% - Accent1 111 2" xfId="10516"/>
    <cellStyle name="20% - Accent1 112" xfId="5199"/>
    <cellStyle name="20% - Accent1 112 2" xfId="10530"/>
    <cellStyle name="20% - Accent1 113" xfId="5213"/>
    <cellStyle name="20% - Accent1 113 2" xfId="10544"/>
    <cellStyle name="20% - Accent1 114" xfId="5227"/>
    <cellStyle name="20% - Accent1 114 2" xfId="10558"/>
    <cellStyle name="20% - Accent1 115" xfId="5241"/>
    <cellStyle name="20% - Accent1 115 2" xfId="10572"/>
    <cellStyle name="20% - Accent1 116" xfId="5255"/>
    <cellStyle name="20% - Accent1 116 2" xfId="10586"/>
    <cellStyle name="20% - Accent1 117" xfId="5269"/>
    <cellStyle name="20% - Accent1 117 2" xfId="10600"/>
    <cellStyle name="20% - Accent1 118" xfId="5283"/>
    <cellStyle name="20% - Accent1 118 2" xfId="10614"/>
    <cellStyle name="20% - Accent1 119" xfId="5297"/>
    <cellStyle name="20% - Accent1 119 2" xfId="10628"/>
    <cellStyle name="20% - Accent1 12" xfId="188"/>
    <cellStyle name="20% - Accent1 12 2" xfId="665"/>
    <cellStyle name="20% - Accent1 12 2 2" xfId="3489"/>
    <cellStyle name="20% - Accent1 12 2 2 2" xfId="8822"/>
    <cellStyle name="20% - Accent1 12 2 3" xfId="1955"/>
    <cellStyle name="20% - Accent1 12 2 3 2" xfId="7289"/>
    <cellStyle name="20% - Accent1 12 2 4" xfId="6002"/>
    <cellStyle name="20% - Accent1 12 3" xfId="3490"/>
    <cellStyle name="20% - Accent1 12 3 2" xfId="8823"/>
    <cellStyle name="20% - Accent1 12 4" xfId="1954"/>
    <cellStyle name="20% - Accent1 12 4 2" xfId="7288"/>
    <cellStyle name="20% - Accent1 12 5" xfId="5526"/>
    <cellStyle name="20% - Accent1 120" xfId="5311"/>
    <cellStyle name="20% - Accent1 120 2" xfId="10642"/>
    <cellStyle name="20% - Accent1 121" xfId="5325"/>
    <cellStyle name="20% - Accent1 121 2" xfId="10656"/>
    <cellStyle name="20% - Accent1 122" xfId="5339"/>
    <cellStyle name="20% - Accent1 122 2" xfId="10670"/>
    <cellStyle name="20% - Accent1 123" xfId="5358"/>
    <cellStyle name="20% - Accent1 123 2" xfId="10687"/>
    <cellStyle name="20% - Accent1 124" xfId="10701"/>
    <cellStyle name="20% - Accent1 125" xfId="5370"/>
    <cellStyle name="20% - Accent1 126" xfId="10715"/>
    <cellStyle name="20% - Accent1 127" xfId="10729"/>
    <cellStyle name="20% - Accent1 128" xfId="10743"/>
    <cellStyle name="20% - Accent1 129" xfId="10757"/>
    <cellStyle name="20% - Accent1 13" xfId="202"/>
    <cellStyle name="20% - Accent1 13 2" xfId="679"/>
    <cellStyle name="20% - Accent1 13 2 2" xfId="3491"/>
    <cellStyle name="20% - Accent1 13 2 2 2" xfId="8824"/>
    <cellStyle name="20% - Accent1 13 2 3" xfId="1957"/>
    <cellStyle name="20% - Accent1 13 2 3 2" xfId="7291"/>
    <cellStyle name="20% - Accent1 13 2 4" xfId="6016"/>
    <cellStyle name="20% - Accent1 13 3" xfId="3492"/>
    <cellStyle name="20% - Accent1 13 3 2" xfId="8825"/>
    <cellStyle name="20% - Accent1 13 4" xfId="1956"/>
    <cellStyle name="20% - Accent1 13 4 2" xfId="7290"/>
    <cellStyle name="20% - Accent1 13 5" xfId="5540"/>
    <cellStyle name="20% - Accent1 130" xfId="10771"/>
    <cellStyle name="20% - Accent1 131" xfId="10786"/>
    <cellStyle name="20% - Accent1 132" xfId="10800"/>
    <cellStyle name="20% - Accent1 133" xfId="10814"/>
    <cellStyle name="20% - Accent1 134" xfId="10828"/>
    <cellStyle name="20% - Accent1 135" xfId="10842"/>
    <cellStyle name="20% - Accent1 136" xfId="10856"/>
    <cellStyle name="20% - Accent1 137" xfId="10870"/>
    <cellStyle name="20% - Accent1 138" xfId="10884"/>
    <cellStyle name="20% - Accent1 139" xfId="10898"/>
    <cellStyle name="20% - Accent1 14" xfId="216"/>
    <cellStyle name="20% - Accent1 14 2" xfId="693"/>
    <cellStyle name="20% - Accent1 14 2 2" xfId="3493"/>
    <cellStyle name="20% - Accent1 14 2 2 2" xfId="8826"/>
    <cellStyle name="20% - Accent1 14 2 3" xfId="1959"/>
    <cellStyle name="20% - Accent1 14 2 3 2" xfId="7293"/>
    <cellStyle name="20% - Accent1 14 2 4" xfId="6030"/>
    <cellStyle name="20% - Accent1 14 3" xfId="3494"/>
    <cellStyle name="20% - Accent1 14 3 2" xfId="8827"/>
    <cellStyle name="20% - Accent1 14 4" xfId="1958"/>
    <cellStyle name="20% - Accent1 14 4 2" xfId="7292"/>
    <cellStyle name="20% - Accent1 14 5" xfId="5554"/>
    <cellStyle name="20% - Accent1 140" xfId="10912"/>
    <cellStyle name="20% - Accent1 141" xfId="10926"/>
    <cellStyle name="20% - Accent1 142" xfId="10940"/>
    <cellStyle name="20% - Accent1 143" xfId="10954"/>
    <cellStyle name="20% - Accent1 144" xfId="10968"/>
    <cellStyle name="20% - Accent1 145" xfId="10982"/>
    <cellStyle name="20% - Accent1 146" xfId="10996"/>
    <cellStyle name="20% - Accent1 147" xfId="11010"/>
    <cellStyle name="20% - Accent1 148" xfId="11024"/>
    <cellStyle name="20% - Accent1 149" xfId="11038"/>
    <cellStyle name="20% - Accent1 15" xfId="230"/>
    <cellStyle name="20% - Accent1 15 2" xfId="707"/>
    <cellStyle name="20% - Accent1 15 2 2" xfId="3495"/>
    <cellStyle name="20% - Accent1 15 2 2 2" xfId="8828"/>
    <cellStyle name="20% - Accent1 15 2 3" xfId="1961"/>
    <cellStyle name="20% - Accent1 15 2 3 2" xfId="7295"/>
    <cellStyle name="20% - Accent1 15 2 4" xfId="6044"/>
    <cellStyle name="20% - Accent1 15 3" xfId="3496"/>
    <cellStyle name="20% - Accent1 15 3 2" xfId="8829"/>
    <cellStyle name="20% - Accent1 15 4" xfId="1960"/>
    <cellStyle name="20% - Accent1 15 4 2" xfId="7294"/>
    <cellStyle name="20% - Accent1 15 5" xfId="5568"/>
    <cellStyle name="20% - Accent1 150" xfId="11052"/>
    <cellStyle name="20% - Accent1 16" xfId="244"/>
    <cellStyle name="20% - Accent1 16 2" xfId="721"/>
    <cellStyle name="20% - Accent1 16 2 2" xfId="3497"/>
    <cellStyle name="20% - Accent1 16 2 2 2" xfId="8830"/>
    <cellStyle name="20% - Accent1 16 2 3" xfId="1963"/>
    <cellStyle name="20% - Accent1 16 2 3 2" xfId="7297"/>
    <cellStyle name="20% - Accent1 16 2 4" xfId="6058"/>
    <cellStyle name="20% - Accent1 16 3" xfId="3498"/>
    <cellStyle name="20% - Accent1 16 3 2" xfId="8831"/>
    <cellStyle name="20% - Accent1 16 4" xfId="1962"/>
    <cellStyle name="20% - Accent1 16 4 2" xfId="7296"/>
    <cellStyle name="20% - Accent1 16 5" xfId="5582"/>
    <cellStyle name="20% - Accent1 17" xfId="258"/>
    <cellStyle name="20% - Accent1 17 2" xfId="735"/>
    <cellStyle name="20% - Accent1 17 2 2" xfId="3499"/>
    <cellStyle name="20% - Accent1 17 2 2 2" xfId="8832"/>
    <cellStyle name="20% - Accent1 17 2 3" xfId="1965"/>
    <cellStyle name="20% - Accent1 17 2 3 2" xfId="7299"/>
    <cellStyle name="20% - Accent1 17 2 4" xfId="6072"/>
    <cellStyle name="20% - Accent1 17 3" xfId="3500"/>
    <cellStyle name="20% - Accent1 17 3 2" xfId="8833"/>
    <cellStyle name="20% - Accent1 17 4" xfId="1964"/>
    <cellStyle name="20% - Accent1 17 4 2" xfId="7298"/>
    <cellStyle name="20% - Accent1 17 5" xfId="5596"/>
    <cellStyle name="20% - Accent1 18" xfId="272"/>
    <cellStyle name="20% - Accent1 18 2" xfId="749"/>
    <cellStyle name="20% - Accent1 18 2 2" xfId="3501"/>
    <cellStyle name="20% - Accent1 18 2 2 2" xfId="8834"/>
    <cellStyle name="20% - Accent1 18 2 3" xfId="1967"/>
    <cellStyle name="20% - Accent1 18 2 3 2" xfId="7301"/>
    <cellStyle name="20% - Accent1 18 2 4" xfId="6086"/>
    <cellStyle name="20% - Accent1 18 3" xfId="3502"/>
    <cellStyle name="20% - Accent1 18 3 2" xfId="8835"/>
    <cellStyle name="20% - Accent1 18 4" xfId="1966"/>
    <cellStyle name="20% - Accent1 18 4 2" xfId="7300"/>
    <cellStyle name="20% - Accent1 18 5" xfId="5610"/>
    <cellStyle name="20% - Accent1 19" xfId="286"/>
    <cellStyle name="20% - Accent1 19 2" xfId="763"/>
    <cellStyle name="20% - Accent1 19 2 2" xfId="3503"/>
    <cellStyle name="20% - Accent1 19 2 2 2" xfId="8836"/>
    <cellStyle name="20% - Accent1 19 2 3" xfId="1969"/>
    <cellStyle name="20% - Accent1 19 2 3 2" xfId="7303"/>
    <cellStyle name="20% - Accent1 19 2 4" xfId="6100"/>
    <cellStyle name="20% - Accent1 19 3" xfId="3504"/>
    <cellStyle name="20% - Accent1 19 3 2" xfId="8837"/>
    <cellStyle name="20% - Accent1 19 4" xfId="1968"/>
    <cellStyle name="20% - Accent1 19 4 2" xfId="7302"/>
    <cellStyle name="20% - Accent1 19 5" xfId="5624"/>
    <cellStyle name="20% - Accent1 2" xfId="48"/>
    <cellStyle name="20% - Accent1 2 2" xfId="525"/>
    <cellStyle name="20% - Accent1 2 2 2" xfId="3505"/>
    <cellStyle name="20% - Accent1 2 2 2 2" xfId="8838"/>
    <cellStyle name="20% - Accent1 2 2 3" xfId="1971"/>
    <cellStyle name="20% - Accent1 2 2 3 2" xfId="7305"/>
    <cellStyle name="20% - Accent1 2 2 4" xfId="5862"/>
    <cellStyle name="20% - Accent1 2 3" xfId="3506"/>
    <cellStyle name="20% - Accent1 2 3 2" xfId="8839"/>
    <cellStyle name="20% - Accent1 2 4" xfId="1970"/>
    <cellStyle name="20% - Accent1 2 4 2" xfId="7304"/>
    <cellStyle name="20% - Accent1 2 5" xfId="5386"/>
    <cellStyle name="20% - Accent1 20" xfId="300"/>
    <cellStyle name="20% - Accent1 20 2" xfId="777"/>
    <cellStyle name="20% - Accent1 20 2 2" xfId="3507"/>
    <cellStyle name="20% - Accent1 20 2 2 2" xfId="8840"/>
    <cellStyle name="20% - Accent1 20 2 3" xfId="1973"/>
    <cellStyle name="20% - Accent1 20 2 3 2" xfId="7307"/>
    <cellStyle name="20% - Accent1 20 2 4" xfId="6114"/>
    <cellStyle name="20% - Accent1 20 3" xfId="3508"/>
    <cellStyle name="20% - Accent1 20 3 2" xfId="8841"/>
    <cellStyle name="20% - Accent1 20 4" xfId="1972"/>
    <cellStyle name="20% - Accent1 20 4 2" xfId="7306"/>
    <cellStyle name="20% - Accent1 20 5" xfId="5638"/>
    <cellStyle name="20% - Accent1 21" xfId="315"/>
    <cellStyle name="20% - Accent1 21 2" xfId="792"/>
    <cellStyle name="20% - Accent1 21 2 2" xfId="3509"/>
    <cellStyle name="20% - Accent1 21 2 2 2" xfId="8842"/>
    <cellStyle name="20% - Accent1 21 2 3" xfId="1975"/>
    <cellStyle name="20% - Accent1 21 2 3 2" xfId="7309"/>
    <cellStyle name="20% - Accent1 21 2 4" xfId="6128"/>
    <cellStyle name="20% - Accent1 21 3" xfId="3510"/>
    <cellStyle name="20% - Accent1 21 3 2" xfId="8843"/>
    <cellStyle name="20% - Accent1 21 4" xfId="1974"/>
    <cellStyle name="20% - Accent1 21 4 2" xfId="7308"/>
    <cellStyle name="20% - Accent1 21 5" xfId="5652"/>
    <cellStyle name="20% - Accent1 22" xfId="329"/>
    <cellStyle name="20% - Accent1 22 2" xfId="806"/>
    <cellStyle name="20% - Accent1 22 2 2" xfId="3511"/>
    <cellStyle name="20% - Accent1 22 2 2 2" xfId="8844"/>
    <cellStyle name="20% - Accent1 22 2 3" xfId="1977"/>
    <cellStyle name="20% - Accent1 22 2 3 2" xfId="7311"/>
    <cellStyle name="20% - Accent1 22 2 4" xfId="6142"/>
    <cellStyle name="20% - Accent1 22 3" xfId="3512"/>
    <cellStyle name="20% - Accent1 22 3 2" xfId="8845"/>
    <cellStyle name="20% - Accent1 22 4" xfId="1976"/>
    <cellStyle name="20% - Accent1 22 4 2" xfId="7310"/>
    <cellStyle name="20% - Accent1 22 5" xfId="5666"/>
    <cellStyle name="20% - Accent1 23" xfId="343"/>
    <cellStyle name="20% - Accent1 23 2" xfId="820"/>
    <cellStyle name="20% - Accent1 23 2 2" xfId="3513"/>
    <cellStyle name="20% - Accent1 23 2 2 2" xfId="8846"/>
    <cellStyle name="20% - Accent1 23 2 3" xfId="1979"/>
    <cellStyle name="20% - Accent1 23 2 3 2" xfId="7313"/>
    <cellStyle name="20% - Accent1 23 2 4" xfId="6156"/>
    <cellStyle name="20% - Accent1 23 3" xfId="3514"/>
    <cellStyle name="20% - Accent1 23 3 2" xfId="8847"/>
    <cellStyle name="20% - Accent1 23 4" xfId="1978"/>
    <cellStyle name="20% - Accent1 23 4 2" xfId="7312"/>
    <cellStyle name="20% - Accent1 23 5" xfId="5680"/>
    <cellStyle name="20% - Accent1 24" xfId="357"/>
    <cellStyle name="20% - Accent1 24 2" xfId="834"/>
    <cellStyle name="20% - Accent1 24 2 2" xfId="3515"/>
    <cellStyle name="20% - Accent1 24 2 2 2" xfId="8848"/>
    <cellStyle name="20% - Accent1 24 2 3" xfId="1981"/>
    <cellStyle name="20% - Accent1 24 2 3 2" xfId="7315"/>
    <cellStyle name="20% - Accent1 24 2 4" xfId="6170"/>
    <cellStyle name="20% - Accent1 24 3" xfId="3516"/>
    <cellStyle name="20% - Accent1 24 3 2" xfId="8849"/>
    <cellStyle name="20% - Accent1 24 4" xfId="1980"/>
    <cellStyle name="20% - Accent1 24 4 2" xfId="7314"/>
    <cellStyle name="20% - Accent1 24 5" xfId="5694"/>
    <cellStyle name="20% - Accent1 25" xfId="371"/>
    <cellStyle name="20% - Accent1 25 2" xfId="848"/>
    <cellStyle name="20% - Accent1 25 2 2" xfId="3517"/>
    <cellStyle name="20% - Accent1 25 2 2 2" xfId="8850"/>
    <cellStyle name="20% - Accent1 25 2 3" xfId="1983"/>
    <cellStyle name="20% - Accent1 25 2 3 2" xfId="7317"/>
    <cellStyle name="20% - Accent1 25 2 4" xfId="6184"/>
    <cellStyle name="20% - Accent1 25 3" xfId="3518"/>
    <cellStyle name="20% - Accent1 25 3 2" xfId="8851"/>
    <cellStyle name="20% - Accent1 25 4" xfId="1982"/>
    <cellStyle name="20% - Accent1 25 4 2" xfId="7316"/>
    <cellStyle name="20% - Accent1 25 5" xfId="5708"/>
    <cellStyle name="20% - Accent1 26" xfId="385"/>
    <cellStyle name="20% - Accent1 26 2" xfId="862"/>
    <cellStyle name="20% - Accent1 26 2 2" xfId="3519"/>
    <cellStyle name="20% - Accent1 26 2 2 2" xfId="8852"/>
    <cellStyle name="20% - Accent1 26 2 3" xfId="1985"/>
    <cellStyle name="20% - Accent1 26 2 3 2" xfId="7319"/>
    <cellStyle name="20% - Accent1 26 2 4" xfId="6198"/>
    <cellStyle name="20% - Accent1 26 3" xfId="3520"/>
    <cellStyle name="20% - Accent1 26 3 2" xfId="8853"/>
    <cellStyle name="20% - Accent1 26 4" xfId="1984"/>
    <cellStyle name="20% - Accent1 26 4 2" xfId="7318"/>
    <cellStyle name="20% - Accent1 26 5" xfId="5722"/>
    <cellStyle name="20% - Accent1 27" xfId="399"/>
    <cellStyle name="20% - Accent1 27 2" xfId="876"/>
    <cellStyle name="20% - Accent1 27 2 2" xfId="3521"/>
    <cellStyle name="20% - Accent1 27 2 2 2" xfId="8854"/>
    <cellStyle name="20% - Accent1 27 2 3" xfId="1987"/>
    <cellStyle name="20% - Accent1 27 2 3 2" xfId="7321"/>
    <cellStyle name="20% - Accent1 27 2 4" xfId="6212"/>
    <cellStyle name="20% - Accent1 27 3" xfId="3522"/>
    <cellStyle name="20% - Accent1 27 3 2" xfId="8855"/>
    <cellStyle name="20% - Accent1 27 4" xfId="1986"/>
    <cellStyle name="20% - Accent1 27 4 2" xfId="7320"/>
    <cellStyle name="20% - Accent1 27 5" xfId="5736"/>
    <cellStyle name="20% - Accent1 28" xfId="413"/>
    <cellStyle name="20% - Accent1 28 2" xfId="890"/>
    <cellStyle name="20% - Accent1 28 2 2" xfId="3523"/>
    <cellStyle name="20% - Accent1 28 2 2 2" xfId="8856"/>
    <cellStyle name="20% - Accent1 28 2 3" xfId="1989"/>
    <cellStyle name="20% - Accent1 28 2 3 2" xfId="7323"/>
    <cellStyle name="20% - Accent1 28 2 4" xfId="6226"/>
    <cellStyle name="20% - Accent1 28 3" xfId="3524"/>
    <cellStyle name="20% - Accent1 28 3 2" xfId="8857"/>
    <cellStyle name="20% - Accent1 28 4" xfId="1988"/>
    <cellStyle name="20% - Accent1 28 4 2" xfId="7322"/>
    <cellStyle name="20% - Accent1 28 5" xfId="5750"/>
    <cellStyle name="20% - Accent1 29" xfId="427"/>
    <cellStyle name="20% - Accent1 29 2" xfId="904"/>
    <cellStyle name="20% - Accent1 29 2 2" xfId="3525"/>
    <cellStyle name="20% - Accent1 29 2 2 2" xfId="8858"/>
    <cellStyle name="20% - Accent1 29 2 3" xfId="1991"/>
    <cellStyle name="20% - Accent1 29 2 3 2" xfId="7325"/>
    <cellStyle name="20% - Accent1 29 2 4" xfId="6240"/>
    <cellStyle name="20% - Accent1 29 3" xfId="3526"/>
    <cellStyle name="20% - Accent1 29 3 2" xfId="8859"/>
    <cellStyle name="20% - Accent1 29 4" xfId="1990"/>
    <cellStyle name="20% - Accent1 29 4 2" xfId="7324"/>
    <cellStyle name="20% - Accent1 29 5" xfId="5764"/>
    <cellStyle name="20% - Accent1 3" xfId="62"/>
    <cellStyle name="20% - Accent1 3 2" xfId="539"/>
    <cellStyle name="20% - Accent1 3 2 2" xfId="3527"/>
    <cellStyle name="20% - Accent1 3 2 2 2" xfId="8860"/>
    <cellStyle name="20% - Accent1 3 2 3" xfId="1993"/>
    <cellStyle name="20% - Accent1 3 2 3 2" xfId="7327"/>
    <cellStyle name="20% - Accent1 3 2 4" xfId="5876"/>
    <cellStyle name="20% - Accent1 3 3" xfId="3528"/>
    <cellStyle name="20% - Accent1 3 3 2" xfId="8861"/>
    <cellStyle name="20% - Accent1 3 4" xfId="1992"/>
    <cellStyle name="20% - Accent1 3 4 2" xfId="7326"/>
    <cellStyle name="20% - Accent1 3 5" xfId="5400"/>
    <cellStyle name="20% - Accent1 30" xfId="441"/>
    <cellStyle name="20% - Accent1 30 2" xfId="918"/>
    <cellStyle name="20% - Accent1 30 2 2" xfId="3529"/>
    <cellStyle name="20% - Accent1 30 2 2 2" xfId="8862"/>
    <cellStyle name="20% - Accent1 30 2 3" xfId="1995"/>
    <cellStyle name="20% - Accent1 30 2 3 2" xfId="7329"/>
    <cellStyle name="20% - Accent1 30 2 4" xfId="6254"/>
    <cellStyle name="20% - Accent1 30 3" xfId="3530"/>
    <cellStyle name="20% - Accent1 30 3 2" xfId="8863"/>
    <cellStyle name="20% - Accent1 30 4" xfId="1994"/>
    <cellStyle name="20% - Accent1 30 4 2" xfId="7328"/>
    <cellStyle name="20% - Accent1 30 5" xfId="5778"/>
    <cellStyle name="20% - Accent1 31" xfId="455"/>
    <cellStyle name="20% - Accent1 31 2" xfId="932"/>
    <cellStyle name="20% - Accent1 31 2 2" xfId="3531"/>
    <cellStyle name="20% - Accent1 31 2 2 2" xfId="8864"/>
    <cellStyle name="20% - Accent1 31 2 3" xfId="1997"/>
    <cellStyle name="20% - Accent1 31 2 3 2" xfId="7331"/>
    <cellStyle name="20% - Accent1 31 2 4" xfId="6268"/>
    <cellStyle name="20% - Accent1 31 3" xfId="3532"/>
    <cellStyle name="20% - Accent1 31 3 2" xfId="8865"/>
    <cellStyle name="20% - Accent1 31 4" xfId="1996"/>
    <cellStyle name="20% - Accent1 31 4 2" xfId="7330"/>
    <cellStyle name="20% - Accent1 31 5" xfId="5792"/>
    <cellStyle name="20% - Accent1 32" xfId="469"/>
    <cellStyle name="20% - Accent1 32 2" xfId="946"/>
    <cellStyle name="20% - Accent1 32 2 2" xfId="3533"/>
    <cellStyle name="20% - Accent1 32 2 2 2" xfId="8866"/>
    <cellStyle name="20% - Accent1 32 2 3" xfId="1999"/>
    <cellStyle name="20% - Accent1 32 2 3 2" xfId="7333"/>
    <cellStyle name="20% - Accent1 32 2 4" xfId="6282"/>
    <cellStyle name="20% - Accent1 32 3" xfId="3534"/>
    <cellStyle name="20% - Accent1 32 3 2" xfId="8867"/>
    <cellStyle name="20% - Accent1 32 4" xfId="1998"/>
    <cellStyle name="20% - Accent1 32 4 2" xfId="7332"/>
    <cellStyle name="20% - Accent1 32 5" xfId="5806"/>
    <cellStyle name="20% - Accent1 33" xfId="483"/>
    <cellStyle name="20% - Accent1 33 2" xfId="960"/>
    <cellStyle name="20% - Accent1 33 2 2" xfId="3535"/>
    <cellStyle name="20% - Accent1 33 2 2 2" xfId="8868"/>
    <cellStyle name="20% - Accent1 33 2 3" xfId="2001"/>
    <cellStyle name="20% - Accent1 33 2 3 2" xfId="7335"/>
    <cellStyle name="20% - Accent1 33 2 4" xfId="6296"/>
    <cellStyle name="20% - Accent1 33 3" xfId="3536"/>
    <cellStyle name="20% - Accent1 33 3 2" xfId="8869"/>
    <cellStyle name="20% - Accent1 33 4" xfId="2000"/>
    <cellStyle name="20% - Accent1 33 4 2" xfId="7334"/>
    <cellStyle name="20% - Accent1 33 5" xfId="5820"/>
    <cellStyle name="20% - Accent1 34" xfId="497"/>
    <cellStyle name="20% - Accent1 34 2" xfId="974"/>
    <cellStyle name="20% - Accent1 34 2 2" xfId="3537"/>
    <cellStyle name="20% - Accent1 34 2 2 2" xfId="8870"/>
    <cellStyle name="20% - Accent1 34 2 3" xfId="2003"/>
    <cellStyle name="20% - Accent1 34 2 3 2" xfId="7337"/>
    <cellStyle name="20% - Accent1 34 2 4" xfId="6310"/>
    <cellStyle name="20% - Accent1 34 3" xfId="3538"/>
    <cellStyle name="20% - Accent1 34 3 2" xfId="8871"/>
    <cellStyle name="20% - Accent1 34 4" xfId="2002"/>
    <cellStyle name="20% - Accent1 34 4 2" xfId="7336"/>
    <cellStyle name="20% - Accent1 34 5" xfId="5834"/>
    <cellStyle name="20% - Accent1 35" xfId="988"/>
    <cellStyle name="20% - Accent1 35 2" xfId="3539"/>
    <cellStyle name="20% - Accent1 35 2 2" xfId="8872"/>
    <cellStyle name="20% - Accent1 35 3" xfId="2004"/>
    <cellStyle name="20% - Accent1 35 3 2" xfId="7338"/>
    <cellStyle name="20% - Accent1 35 4" xfId="6324"/>
    <cellStyle name="20% - Accent1 36" xfId="1002"/>
    <cellStyle name="20% - Accent1 36 2" xfId="3540"/>
    <cellStyle name="20% - Accent1 36 2 2" xfId="8873"/>
    <cellStyle name="20% - Accent1 36 3" xfId="2005"/>
    <cellStyle name="20% - Accent1 36 3 2" xfId="7339"/>
    <cellStyle name="20% - Accent1 36 4" xfId="6338"/>
    <cellStyle name="20% - Accent1 37" xfId="1016"/>
    <cellStyle name="20% - Accent1 37 2" xfId="3541"/>
    <cellStyle name="20% - Accent1 37 2 2" xfId="8874"/>
    <cellStyle name="20% - Accent1 37 3" xfId="2006"/>
    <cellStyle name="20% - Accent1 37 3 2" xfId="7340"/>
    <cellStyle name="20% - Accent1 37 4" xfId="6352"/>
    <cellStyle name="20% - Accent1 38" xfId="509"/>
    <cellStyle name="20% - Accent1 38 2" xfId="3542"/>
    <cellStyle name="20% - Accent1 38 2 2" xfId="8875"/>
    <cellStyle name="20% - Accent1 38 3" xfId="2007"/>
    <cellStyle name="20% - Accent1 38 3 2" xfId="7341"/>
    <cellStyle name="20% - Accent1 38 4" xfId="5846"/>
    <cellStyle name="20% - Accent1 39" xfId="1030"/>
    <cellStyle name="20% - Accent1 39 2" xfId="3543"/>
    <cellStyle name="20% - Accent1 39 2 2" xfId="8876"/>
    <cellStyle name="20% - Accent1 39 3" xfId="2926"/>
    <cellStyle name="20% - Accent1 39 3 2" xfId="8260"/>
    <cellStyle name="20% - Accent1 39 4" xfId="6366"/>
    <cellStyle name="20% - Accent1 4" xfId="76"/>
    <cellStyle name="20% - Accent1 4 2" xfId="553"/>
    <cellStyle name="20% - Accent1 4 2 2" xfId="3544"/>
    <cellStyle name="20% - Accent1 4 2 2 2" xfId="8877"/>
    <cellStyle name="20% - Accent1 4 2 3" xfId="2009"/>
    <cellStyle name="20% - Accent1 4 2 3 2" xfId="7343"/>
    <cellStyle name="20% - Accent1 4 2 4" xfId="5890"/>
    <cellStyle name="20% - Accent1 4 3" xfId="3545"/>
    <cellStyle name="20% - Accent1 4 3 2" xfId="8878"/>
    <cellStyle name="20% - Accent1 4 4" xfId="2008"/>
    <cellStyle name="20% - Accent1 4 4 2" xfId="7342"/>
    <cellStyle name="20% - Accent1 4 5" xfId="5414"/>
    <cellStyle name="20% - Accent1 40" xfId="1044"/>
    <cellStyle name="20% - Accent1 40 2" xfId="3546"/>
    <cellStyle name="20% - Accent1 40 2 2" xfId="8879"/>
    <cellStyle name="20% - Accent1 40 3" xfId="2927"/>
    <cellStyle name="20% - Accent1 40 3 2" xfId="8261"/>
    <cellStyle name="20% - Accent1 40 4" xfId="6380"/>
    <cellStyle name="20% - Accent1 41" xfId="1058"/>
    <cellStyle name="20% - Accent1 41 2" xfId="3547"/>
    <cellStyle name="20% - Accent1 41 2 2" xfId="8880"/>
    <cellStyle name="20% - Accent1 41 3" xfId="2928"/>
    <cellStyle name="20% - Accent1 41 3 2" xfId="8262"/>
    <cellStyle name="20% - Accent1 41 4" xfId="6394"/>
    <cellStyle name="20% - Accent1 42" xfId="1072"/>
    <cellStyle name="20% - Accent1 42 2" xfId="3548"/>
    <cellStyle name="20% - Accent1 42 2 2" xfId="8881"/>
    <cellStyle name="20% - Accent1 42 3" xfId="2929"/>
    <cellStyle name="20% - Accent1 42 3 2" xfId="8263"/>
    <cellStyle name="20% - Accent1 42 4" xfId="6408"/>
    <cellStyle name="20% - Accent1 43" xfId="1086"/>
    <cellStyle name="20% - Accent1 43 2" xfId="3549"/>
    <cellStyle name="20% - Accent1 43 2 2" xfId="8882"/>
    <cellStyle name="20% - Accent1 43 3" xfId="2930"/>
    <cellStyle name="20% - Accent1 43 3 2" xfId="8264"/>
    <cellStyle name="20% - Accent1 43 4" xfId="6422"/>
    <cellStyle name="20% - Accent1 44" xfId="1100"/>
    <cellStyle name="20% - Accent1 44 2" xfId="3550"/>
    <cellStyle name="20% - Accent1 44 2 2" xfId="8883"/>
    <cellStyle name="20% - Accent1 44 3" xfId="2931"/>
    <cellStyle name="20% - Accent1 44 3 2" xfId="8265"/>
    <cellStyle name="20% - Accent1 44 4" xfId="6436"/>
    <cellStyle name="20% - Accent1 45" xfId="1114"/>
    <cellStyle name="20% - Accent1 45 2" xfId="3551"/>
    <cellStyle name="20% - Accent1 45 2 2" xfId="8884"/>
    <cellStyle name="20% - Accent1 45 3" xfId="2932"/>
    <cellStyle name="20% - Accent1 45 3 2" xfId="8266"/>
    <cellStyle name="20% - Accent1 45 4" xfId="6450"/>
    <cellStyle name="20% - Accent1 46" xfId="1128"/>
    <cellStyle name="20% - Accent1 46 2" xfId="3552"/>
    <cellStyle name="20% - Accent1 46 2 2" xfId="8885"/>
    <cellStyle name="20% - Accent1 46 3" xfId="2933"/>
    <cellStyle name="20% - Accent1 46 3 2" xfId="8267"/>
    <cellStyle name="20% - Accent1 46 4" xfId="6464"/>
    <cellStyle name="20% - Accent1 47" xfId="1142"/>
    <cellStyle name="20% - Accent1 47 2" xfId="3553"/>
    <cellStyle name="20% - Accent1 47 2 2" xfId="8886"/>
    <cellStyle name="20% - Accent1 47 3" xfId="2934"/>
    <cellStyle name="20% - Accent1 47 3 2" xfId="8268"/>
    <cellStyle name="20% - Accent1 47 4" xfId="6478"/>
    <cellStyle name="20% - Accent1 48" xfId="1156"/>
    <cellStyle name="20% - Accent1 48 2" xfId="3554"/>
    <cellStyle name="20% - Accent1 48 2 2" xfId="8887"/>
    <cellStyle name="20% - Accent1 48 3" xfId="2935"/>
    <cellStyle name="20% - Accent1 48 3 2" xfId="8269"/>
    <cellStyle name="20% - Accent1 48 4" xfId="6492"/>
    <cellStyle name="20% - Accent1 49" xfId="1170"/>
    <cellStyle name="20% - Accent1 49 2" xfId="3555"/>
    <cellStyle name="20% - Accent1 49 2 2" xfId="8888"/>
    <cellStyle name="20% - Accent1 49 3" xfId="2936"/>
    <cellStyle name="20% - Accent1 49 3 2" xfId="8270"/>
    <cellStyle name="20% - Accent1 49 4" xfId="6506"/>
    <cellStyle name="20% - Accent1 5" xfId="90"/>
    <cellStyle name="20% - Accent1 5 2" xfId="567"/>
    <cellStyle name="20% - Accent1 5 2 2" xfId="3556"/>
    <cellStyle name="20% - Accent1 5 2 2 2" xfId="8889"/>
    <cellStyle name="20% - Accent1 5 2 3" xfId="2011"/>
    <cellStyle name="20% - Accent1 5 2 3 2" xfId="7345"/>
    <cellStyle name="20% - Accent1 5 2 4" xfId="5904"/>
    <cellStyle name="20% - Accent1 5 3" xfId="3557"/>
    <cellStyle name="20% - Accent1 5 3 2" xfId="8890"/>
    <cellStyle name="20% - Accent1 5 4" xfId="2010"/>
    <cellStyle name="20% - Accent1 5 4 2" xfId="7344"/>
    <cellStyle name="20% - Accent1 5 5" xfId="5428"/>
    <cellStyle name="20% - Accent1 50" xfId="1184"/>
    <cellStyle name="20% - Accent1 50 2" xfId="3558"/>
    <cellStyle name="20% - Accent1 50 2 2" xfId="8891"/>
    <cellStyle name="20% - Accent1 50 3" xfId="2937"/>
    <cellStyle name="20% - Accent1 50 3 2" xfId="8271"/>
    <cellStyle name="20% - Accent1 50 4" xfId="6520"/>
    <cellStyle name="20% - Accent1 51" xfId="1198"/>
    <cellStyle name="20% - Accent1 51 2" xfId="3559"/>
    <cellStyle name="20% - Accent1 51 2 2" xfId="8892"/>
    <cellStyle name="20% - Accent1 51 3" xfId="2938"/>
    <cellStyle name="20% - Accent1 51 3 2" xfId="8272"/>
    <cellStyle name="20% - Accent1 51 4" xfId="6534"/>
    <cellStyle name="20% - Accent1 52" xfId="1212"/>
    <cellStyle name="20% - Accent1 52 2" xfId="3560"/>
    <cellStyle name="20% - Accent1 52 2 2" xfId="8893"/>
    <cellStyle name="20% - Accent1 52 3" xfId="2939"/>
    <cellStyle name="20% - Accent1 52 3 2" xfId="8273"/>
    <cellStyle name="20% - Accent1 52 4" xfId="6548"/>
    <cellStyle name="20% - Accent1 53" xfId="1226"/>
    <cellStyle name="20% - Accent1 53 2" xfId="3561"/>
    <cellStyle name="20% - Accent1 53 2 2" xfId="8894"/>
    <cellStyle name="20% - Accent1 53 3" xfId="2940"/>
    <cellStyle name="20% - Accent1 53 3 2" xfId="8274"/>
    <cellStyle name="20% - Accent1 53 4" xfId="6562"/>
    <cellStyle name="20% - Accent1 54" xfId="1240"/>
    <cellStyle name="20% - Accent1 54 2" xfId="3562"/>
    <cellStyle name="20% - Accent1 54 2 2" xfId="8895"/>
    <cellStyle name="20% - Accent1 54 3" xfId="2941"/>
    <cellStyle name="20% - Accent1 54 3 2" xfId="8275"/>
    <cellStyle name="20% - Accent1 54 4" xfId="6576"/>
    <cellStyle name="20% - Accent1 55" xfId="1254"/>
    <cellStyle name="20% - Accent1 55 2" xfId="3563"/>
    <cellStyle name="20% - Accent1 55 2 2" xfId="8896"/>
    <cellStyle name="20% - Accent1 55 3" xfId="2942"/>
    <cellStyle name="20% - Accent1 55 3 2" xfId="8276"/>
    <cellStyle name="20% - Accent1 55 4" xfId="6590"/>
    <cellStyle name="20% - Accent1 56" xfId="1268"/>
    <cellStyle name="20% - Accent1 56 2" xfId="3564"/>
    <cellStyle name="20% - Accent1 56 2 2" xfId="8897"/>
    <cellStyle name="20% - Accent1 56 3" xfId="2943"/>
    <cellStyle name="20% - Accent1 56 3 2" xfId="8277"/>
    <cellStyle name="20% - Accent1 56 4" xfId="6604"/>
    <cellStyle name="20% - Accent1 57" xfId="1282"/>
    <cellStyle name="20% - Accent1 57 2" xfId="3565"/>
    <cellStyle name="20% - Accent1 57 2 2" xfId="8898"/>
    <cellStyle name="20% - Accent1 57 3" xfId="2944"/>
    <cellStyle name="20% - Accent1 57 3 2" xfId="8278"/>
    <cellStyle name="20% - Accent1 57 4" xfId="6618"/>
    <cellStyle name="20% - Accent1 58" xfId="1296"/>
    <cellStyle name="20% - Accent1 58 2" xfId="3566"/>
    <cellStyle name="20% - Accent1 58 2 2" xfId="8899"/>
    <cellStyle name="20% - Accent1 58 3" xfId="2945"/>
    <cellStyle name="20% - Accent1 58 3 2" xfId="8279"/>
    <cellStyle name="20% - Accent1 58 4" xfId="6632"/>
    <cellStyle name="20% - Accent1 59" xfId="1310"/>
    <cellStyle name="20% - Accent1 59 2" xfId="3567"/>
    <cellStyle name="20% - Accent1 59 2 2" xfId="8900"/>
    <cellStyle name="20% - Accent1 59 3" xfId="2946"/>
    <cellStyle name="20% - Accent1 59 3 2" xfId="8280"/>
    <cellStyle name="20% - Accent1 59 4" xfId="6646"/>
    <cellStyle name="20% - Accent1 6" xfId="104"/>
    <cellStyle name="20% - Accent1 6 2" xfId="581"/>
    <cellStyle name="20% - Accent1 6 2 2" xfId="3568"/>
    <cellStyle name="20% - Accent1 6 2 2 2" xfId="8901"/>
    <cellStyle name="20% - Accent1 6 2 3" xfId="2013"/>
    <cellStyle name="20% - Accent1 6 2 3 2" xfId="7347"/>
    <cellStyle name="20% - Accent1 6 2 4" xfId="5918"/>
    <cellStyle name="20% - Accent1 6 3" xfId="3569"/>
    <cellStyle name="20% - Accent1 6 3 2" xfId="8902"/>
    <cellStyle name="20% - Accent1 6 4" xfId="2012"/>
    <cellStyle name="20% - Accent1 6 4 2" xfId="7346"/>
    <cellStyle name="20% - Accent1 6 5" xfId="5442"/>
    <cellStyle name="20% - Accent1 60" xfId="1324"/>
    <cellStyle name="20% - Accent1 60 2" xfId="3570"/>
    <cellStyle name="20% - Accent1 60 2 2" xfId="8903"/>
    <cellStyle name="20% - Accent1 60 3" xfId="2947"/>
    <cellStyle name="20% - Accent1 60 3 2" xfId="8281"/>
    <cellStyle name="20% - Accent1 60 4" xfId="6660"/>
    <cellStyle name="20% - Accent1 61" xfId="1338"/>
    <cellStyle name="20% - Accent1 61 2" xfId="3571"/>
    <cellStyle name="20% - Accent1 61 2 2" xfId="8904"/>
    <cellStyle name="20% - Accent1 61 3" xfId="2948"/>
    <cellStyle name="20% - Accent1 61 3 2" xfId="8282"/>
    <cellStyle name="20% - Accent1 61 4" xfId="6674"/>
    <cellStyle name="20% - Accent1 62" xfId="1352"/>
    <cellStyle name="20% - Accent1 62 2" xfId="2949"/>
    <cellStyle name="20% - Accent1 62 2 2" xfId="8283"/>
    <cellStyle name="20% - Accent1 62 3" xfId="6688"/>
    <cellStyle name="20% - Accent1 63" xfId="1366"/>
    <cellStyle name="20% - Accent1 63 2" xfId="2950"/>
    <cellStyle name="20% - Accent1 63 2 2" xfId="8284"/>
    <cellStyle name="20% - Accent1 63 3" xfId="6702"/>
    <cellStyle name="20% - Accent1 64" xfId="1380"/>
    <cellStyle name="20% - Accent1 64 2" xfId="2951"/>
    <cellStyle name="20% - Accent1 64 2 2" xfId="8285"/>
    <cellStyle name="20% - Accent1 64 3" xfId="6716"/>
    <cellStyle name="20% - Accent1 65" xfId="1394"/>
    <cellStyle name="20% - Accent1 65 2" xfId="2952"/>
    <cellStyle name="20% - Accent1 65 2 2" xfId="8286"/>
    <cellStyle name="20% - Accent1 65 3" xfId="6730"/>
    <cellStyle name="20% - Accent1 66" xfId="1408"/>
    <cellStyle name="20% - Accent1 66 2" xfId="2953"/>
    <cellStyle name="20% - Accent1 66 2 2" xfId="8287"/>
    <cellStyle name="20% - Accent1 66 3" xfId="6744"/>
    <cellStyle name="20% - Accent1 67" xfId="1422"/>
    <cellStyle name="20% - Accent1 67 2" xfId="2954"/>
    <cellStyle name="20% - Accent1 67 2 2" xfId="8288"/>
    <cellStyle name="20% - Accent1 67 3" xfId="6758"/>
    <cellStyle name="20% - Accent1 68" xfId="1436"/>
    <cellStyle name="20% - Accent1 68 2" xfId="2955"/>
    <cellStyle name="20% - Accent1 68 2 2" xfId="8289"/>
    <cellStyle name="20% - Accent1 68 3" xfId="6772"/>
    <cellStyle name="20% - Accent1 69" xfId="1450"/>
    <cellStyle name="20% - Accent1 69 2" xfId="2956"/>
    <cellStyle name="20% - Accent1 69 2 2" xfId="8290"/>
    <cellStyle name="20% - Accent1 69 3" xfId="6786"/>
    <cellStyle name="20% - Accent1 7" xfId="118"/>
    <cellStyle name="20% - Accent1 7 2" xfId="595"/>
    <cellStyle name="20% - Accent1 7 2 2" xfId="3572"/>
    <cellStyle name="20% - Accent1 7 2 2 2" xfId="8905"/>
    <cellStyle name="20% - Accent1 7 2 3" xfId="2015"/>
    <cellStyle name="20% - Accent1 7 2 3 2" xfId="7349"/>
    <cellStyle name="20% - Accent1 7 2 4" xfId="5932"/>
    <cellStyle name="20% - Accent1 7 3" xfId="3573"/>
    <cellStyle name="20% - Accent1 7 3 2" xfId="8906"/>
    <cellStyle name="20% - Accent1 7 4" xfId="2014"/>
    <cellStyle name="20% - Accent1 7 4 2" xfId="7348"/>
    <cellStyle name="20% - Accent1 7 5" xfId="5456"/>
    <cellStyle name="20% - Accent1 70" xfId="1464"/>
    <cellStyle name="20% - Accent1 70 2" xfId="2957"/>
    <cellStyle name="20% - Accent1 70 2 2" xfId="8291"/>
    <cellStyle name="20% - Accent1 70 3" xfId="6800"/>
    <cellStyle name="20% - Accent1 71" xfId="1478"/>
    <cellStyle name="20% - Accent1 71 2" xfId="2958"/>
    <cellStyle name="20% - Accent1 71 2 2" xfId="8292"/>
    <cellStyle name="20% - Accent1 71 3" xfId="6814"/>
    <cellStyle name="20% - Accent1 72" xfId="1492"/>
    <cellStyle name="20% - Accent1 72 2" xfId="2959"/>
    <cellStyle name="20% - Accent1 72 2 2" xfId="8293"/>
    <cellStyle name="20% - Accent1 72 3" xfId="6828"/>
    <cellStyle name="20% - Accent1 73" xfId="1506"/>
    <cellStyle name="20% - Accent1 73 2" xfId="2960"/>
    <cellStyle name="20% - Accent1 73 2 2" xfId="8294"/>
    <cellStyle name="20% - Accent1 73 3" xfId="6842"/>
    <cellStyle name="20% - Accent1 74" xfId="1520"/>
    <cellStyle name="20% - Accent1 74 2" xfId="2961"/>
    <cellStyle name="20% - Accent1 74 2 2" xfId="8295"/>
    <cellStyle name="20% - Accent1 74 3" xfId="6856"/>
    <cellStyle name="20% - Accent1 75" xfId="1534"/>
    <cellStyle name="20% - Accent1 75 2" xfId="2962"/>
    <cellStyle name="20% - Accent1 75 2 2" xfId="8296"/>
    <cellStyle name="20% - Accent1 75 3" xfId="6870"/>
    <cellStyle name="20% - Accent1 76" xfId="1548"/>
    <cellStyle name="20% - Accent1 76 2" xfId="3432"/>
    <cellStyle name="20% - Accent1 76 2 2" xfId="8766"/>
    <cellStyle name="20% - Accent1 76 3" xfId="6884"/>
    <cellStyle name="20% - Accent1 77" xfId="1562"/>
    <cellStyle name="20% - Accent1 77 2" xfId="3433"/>
    <cellStyle name="20% - Accent1 77 2 2" xfId="8767"/>
    <cellStyle name="20% - Accent1 77 3" xfId="6898"/>
    <cellStyle name="20% - Accent1 78" xfId="1576"/>
    <cellStyle name="20% - Accent1 78 2" xfId="3434"/>
    <cellStyle name="20% - Accent1 78 2 2" xfId="8768"/>
    <cellStyle name="20% - Accent1 78 3" xfId="6912"/>
    <cellStyle name="20% - Accent1 79" xfId="1590"/>
    <cellStyle name="20% - Accent1 79 2" xfId="3435"/>
    <cellStyle name="20% - Accent1 79 2 2" xfId="8769"/>
    <cellStyle name="20% - Accent1 79 3" xfId="6926"/>
    <cellStyle name="20% - Accent1 8" xfId="132"/>
    <cellStyle name="20% - Accent1 8 2" xfId="609"/>
    <cellStyle name="20% - Accent1 8 2 2" xfId="3574"/>
    <cellStyle name="20% - Accent1 8 2 2 2" xfId="8907"/>
    <cellStyle name="20% - Accent1 8 2 3" xfId="2017"/>
    <cellStyle name="20% - Accent1 8 2 3 2" xfId="7351"/>
    <cellStyle name="20% - Accent1 8 2 4" xfId="5946"/>
    <cellStyle name="20% - Accent1 8 3" xfId="3575"/>
    <cellStyle name="20% - Accent1 8 3 2" xfId="8908"/>
    <cellStyle name="20% - Accent1 8 4" xfId="2016"/>
    <cellStyle name="20% - Accent1 8 4 2" xfId="7350"/>
    <cellStyle name="20% - Accent1 8 5" xfId="5470"/>
    <cellStyle name="20% - Accent1 80" xfId="1604"/>
    <cellStyle name="20% - Accent1 80 2" xfId="4794"/>
    <cellStyle name="20% - Accent1 80 2 2" xfId="10127"/>
    <cellStyle name="20% - Accent1 80 3" xfId="6940"/>
    <cellStyle name="20% - Accent1 81" xfId="1618"/>
    <cellStyle name="20% - Accent1 81 2" xfId="4795"/>
    <cellStyle name="20% - Accent1 81 2 2" xfId="10128"/>
    <cellStyle name="20% - Accent1 81 3" xfId="6954"/>
    <cellStyle name="20% - Accent1 82" xfId="1632"/>
    <cellStyle name="20% - Accent1 82 2" xfId="4796"/>
    <cellStyle name="20% - Accent1 82 2 2" xfId="10129"/>
    <cellStyle name="20% - Accent1 82 3" xfId="6968"/>
    <cellStyle name="20% - Accent1 83" xfId="1646"/>
    <cellStyle name="20% - Accent1 83 2" xfId="4797"/>
    <cellStyle name="20% - Accent1 83 2 2" xfId="10130"/>
    <cellStyle name="20% - Accent1 83 3" xfId="6982"/>
    <cellStyle name="20% - Accent1 84" xfId="1660"/>
    <cellStyle name="20% - Accent1 84 2" xfId="4798"/>
    <cellStyle name="20% - Accent1 84 2 2" xfId="10131"/>
    <cellStyle name="20% - Accent1 84 3" xfId="6996"/>
    <cellStyle name="20% - Accent1 85" xfId="1674"/>
    <cellStyle name="20% - Accent1 85 2" xfId="4862"/>
    <cellStyle name="20% - Accent1 85 2 2" xfId="10195"/>
    <cellStyle name="20% - Accent1 85 3" xfId="7010"/>
    <cellStyle name="20% - Accent1 86" xfId="1688"/>
    <cellStyle name="20% - Accent1 86 2" xfId="4863"/>
    <cellStyle name="20% - Accent1 86 2 2" xfId="10196"/>
    <cellStyle name="20% - Accent1 86 3" xfId="7024"/>
    <cellStyle name="20% - Accent1 87" xfId="1702"/>
    <cellStyle name="20% - Accent1 87 2" xfId="4864"/>
    <cellStyle name="20% - Accent1 87 2 2" xfId="10197"/>
    <cellStyle name="20% - Accent1 87 3" xfId="7038"/>
    <cellStyle name="20% - Accent1 88" xfId="1716"/>
    <cellStyle name="20% - Accent1 88 2" xfId="4906"/>
    <cellStyle name="20% - Accent1 88 2 2" xfId="10239"/>
    <cellStyle name="20% - Accent1 88 3" xfId="7052"/>
    <cellStyle name="20% - Accent1 89" xfId="1730"/>
    <cellStyle name="20% - Accent1 89 2" xfId="4907"/>
    <cellStyle name="20% - Accent1 89 2 2" xfId="10240"/>
    <cellStyle name="20% - Accent1 89 3" xfId="7066"/>
    <cellStyle name="20% - Accent1 9" xfId="146"/>
    <cellStyle name="20% - Accent1 9 2" xfId="623"/>
    <cellStyle name="20% - Accent1 9 2 2" xfId="3576"/>
    <cellStyle name="20% - Accent1 9 2 2 2" xfId="8909"/>
    <cellStyle name="20% - Accent1 9 2 3" xfId="2019"/>
    <cellStyle name="20% - Accent1 9 2 3 2" xfId="7353"/>
    <cellStyle name="20% - Accent1 9 2 4" xfId="5960"/>
    <cellStyle name="20% - Accent1 9 3" xfId="3577"/>
    <cellStyle name="20% - Accent1 9 3 2" xfId="8910"/>
    <cellStyle name="20% - Accent1 9 4" xfId="2018"/>
    <cellStyle name="20% - Accent1 9 4 2" xfId="7352"/>
    <cellStyle name="20% - Accent1 9 5" xfId="5484"/>
    <cellStyle name="20% - Accent1 90" xfId="1744"/>
    <cellStyle name="20% - Accent1 90 2" xfId="4908"/>
    <cellStyle name="20% - Accent1 90 2 2" xfId="10241"/>
    <cellStyle name="20% - Accent1 90 3" xfId="7080"/>
    <cellStyle name="20% - Accent1 91" xfId="1758"/>
    <cellStyle name="20% - Accent1 91 2" xfId="4909"/>
    <cellStyle name="20% - Accent1 91 2 2" xfId="10242"/>
    <cellStyle name="20% - Accent1 91 3" xfId="7094"/>
    <cellStyle name="20% - Accent1 92" xfId="1772"/>
    <cellStyle name="20% - Accent1 92 2" xfId="4910"/>
    <cellStyle name="20% - Accent1 92 2 2" xfId="10243"/>
    <cellStyle name="20% - Accent1 92 3" xfId="7108"/>
    <cellStyle name="20% - Accent1 93" xfId="1786"/>
    <cellStyle name="20% - Accent1 93 2" xfId="4911"/>
    <cellStyle name="20% - Accent1 93 2 2" xfId="10244"/>
    <cellStyle name="20% - Accent1 93 3" xfId="7122"/>
    <cellStyle name="20% - Accent1 94" xfId="1800"/>
    <cellStyle name="20% - Accent1 94 2" xfId="4989"/>
    <cellStyle name="20% - Accent1 94 2 2" xfId="10320"/>
    <cellStyle name="20% - Accent1 94 3" xfId="7136"/>
    <cellStyle name="20% - Accent1 95" xfId="1814"/>
    <cellStyle name="20% - Accent1 95 2" xfId="4990"/>
    <cellStyle name="20% - Accent1 95 2 2" xfId="10321"/>
    <cellStyle name="20% - Accent1 95 3" xfId="7150"/>
    <cellStyle name="20% - Accent1 96" xfId="1828"/>
    <cellStyle name="20% - Accent1 96 2" xfId="5018"/>
    <cellStyle name="20% - Accent1 96 2 2" xfId="10349"/>
    <cellStyle name="20% - Accent1 96 3" xfId="7164"/>
    <cellStyle name="20% - Accent1 97" xfId="1842"/>
    <cellStyle name="20% - Accent1 97 2" xfId="5019"/>
    <cellStyle name="20% - Accent1 97 2 2" xfId="10350"/>
    <cellStyle name="20% - Accent1 97 3" xfId="7178"/>
    <cellStyle name="20% - Accent1 98" xfId="1856"/>
    <cellStyle name="20% - Accent1 98 2" xfId="5020"/>
    <cellStyle name="20% - Accent1 98 2 2" xfId="10351"/>
    <cellStyle name="20% - Accent1 98 3" xfId="7192"/>
    <cellStyle name="20% - Accent1 99" xfId="1870"/>
    <cellStyle name="20% - Accent1 99 2" xfId="5021"/>
    <cellStyle name="20% - Accent1 99 2 2" xfId="10352"/>
    <cellStyle name="20% - Accent1 99 3" xfId="7206"/>
    <cellStyle name="20% - Accent2" xfId="2" builtinId="34" customBuiltin="1"/>
    <cellStyle name="20% - Accent2 10" xfId="162"/>
    <cellStyle name="20% - Accent2 10 2" xfId="639"/>
    <cellStyle name="20% - Accent2 10 2 2" xfId="3578"/>
    <cellStyle name="20% - Accent2 10 2 2 2" xfId="8911"/>
    <cellStyle name="20% - Accent2 10 2 3" xfId="2021"/>
    <cellStyle name="20% - Accent2 10 2 3 2" xfId="7355"/>
    <cellStyle name="20% - Accent2 10 2 4" xfId="5976"/>
    <cellStyle name="20% - Accent2 10 3" xfId="3579"/>
    <cellStyle name="20% - Accent2 10 3 2" xfId="8912"/>
    <cellStyle name="20% - Accent2 10 4" xfId="2020"/>
    <cellStyle name="20% - Accent2 10 4 2" xfId="7354"/>
    <cellStyle name="20% - Accent2 10 5" xfId="5500"/>
    <cellStyle name="20% - Accent2 100" xfId="1886"/>
    <cellStyle name="20% - Accent2 100 2" xfId="7222"/>
    <cellStyle name="20% - Accent2 101" xfId="1900"/>
    <cellStyle name="20% - Accent2 101 2" xfId="7236"/>
    <cellStyle name="20% - Accent2 102" xfId="1914"/>
    <cellStyle name="20% - Accent2 102 2" xfId="7250"/>
    <cellStyle name="20% - Accent2 103" xfId="5075"/>
    <cellStyle name="20% - Accent2 103 2" xfId="10406"/>
    <cellStyle name="20% - Accent2 104" xfId="5089"/>
    <cellStyle name="20% - Accent2 104 2" xfId="10420"/>
    <cellStyle name="20% - Accent2 105" xfId="5103"/>
    <cellStyle name="20% - Accent2 105 2" xfId="10434"/>
    <cellStyle name="20% - Accent2 106" xfId="5117"/>
    <cellStyle name="20% - Accent2 106 2" xfId="10448"/>
    <cellStyle name="20% - Accent2 107" xfId="5131"/>
    <cellStyle name="20% - Accent2 107 2" xfId="10462"/>
    <cellStyle name="20% - Accent2 108" xfId="5145"/>
    <cellStyle name="20% - Accent2 108 2" xfId="10476"/>
    <cellStyle name="20% - Accent2 109" xfId="5159"/>
    <cellStyle name="20% - Accent2 109 2" xfId="10490"/>
    <cellStyle name="20% - Accent2 11" xfId="176"/>
    <cellStyle name="20% - Accent2 11 2" xfId="653"/>
    <cellStyle name="20% - Accent2 11 2 2" xfId="3580"/>
    <cellStyle name="20% - Accent2 11 2 2 2" xfId="8913"/>
    <cellStyle name="20% - Accent2 11 2 3" xfId="2023"/>
    <cellStyle name="20% - Accent2 11 2 3 2" xfId="7357"/>
    <cellStyle name="20% - Accent2 11 2 4" xfId="5990"/>
    <cellStyle name="20% - Accent2 11 3" xfId="3581"/>
    <cellStyle name="20% - Accent2 11 3 2" xfId="8914"/>
    <cellStyle name="20% - Accent2 11 4" xfId="2022"/>
    <cellStyle name="20% - Accent2 11 4 2" xfId="7356"/>
    <cellStyle name="20% - Accent2 11 5" xfId="5514"/>
    <cellStyle name="20% - Accent2 110" xfId="5173"/>
    <cellStyle name="20% - Accent2 110 2" xfId="10504"/>
    <cellStyle name="20% - Accent2 111" xfId="5187"/>
    <cellStyle name="20% - Accent2 111 2" xfId="10518"/>
    <cellStyle name="20% - Accent2 112" xfId="5201"/>
    <cellStyle name="20% - Accent2 112 2" xfId="10532"/>
    <cellStyle name="20% - Accent2 113" xfId="5215"/>
    <cellStyle name="20% - Accent2 113 2" xfId="10546"/>
    <cellStyle name="20% - Accent2 114" xfId="5229"/>
    <cellStyle name="20% - Accent2 114 2" xfId="10560"/>
    <cellStyle name="20% - Accent2 115" xfId="5243"/>
    <cellStyle name="20% - Accent2 115 2" xfId="10574"/>
    <cellStyle name="20% - Accent2 116" xfId="5257"/>
    <cellStyle name="20% - Accent2 116 2" xfId="10588"/>
    <cellStyle name="20% - Accent2 117" xfId="5271"/>
    <cellStyle name="20% - Accent2 117 2" xfId="10602"/>
    <cellStyle name="20% - Accent2 118" xfId="5285"/>
    <cellStyle name="20% - Accent2 118 2" xfId="10616"/>
    <cellStyle name="20% - Accent2 119" xfId="5299"/>
    <cellStyle name="20% - Accent2 119 2" xfId="10630"/>
    <cellStyle name="20% - Accent2 12" xfId="190"/>
    <cellStyle name="20% - Accent2 12 2" xfId="667"/>
    <cellStyle name="20% - Accent2 12 2 2" xfId="3582"/>
    <cellStyle name="20% - Accent2 12 2 2 2" xfId="8915"/>
    <cellStyle name="20% - Accent2 12 2 3" xfId="2025"/>
    <cellStyle name="20% - Accent2 12 2 3 2" xfId="7359"/>
    <cellStyle name="20% - Accent2 12 2 4" xfId="6004"/>
    <cellStyle name="20% - Accent2 12 3" xfId="3583"/>
    <cellStyle name="20% - Accent2 12 3 2" xfId="8916"/>
    <cellStyle name="20% - Accent2 12 4" xfId="2024"/>
    <cellStyle name="20% - Accent2 12 4 2" xfId="7358"/>
    <cellStyle name="20% - Accent2 12 5" xfId="5528"/>
    <cellStyle name="20% - Accent2 120" xfId="5313"/>
    <cellStyle name="20% - Accent2 120 2" xfId="10644"/>
    <cellStyle name="20% - Accent2 121" xfId="5327"/>
    <cellStyle name="20% - Accent2 121 2" xfId="10658"/>
    <cellStyle name="20% - Accent2 122" xfId="5341"/>
    <cellStyle name="20% - Accent2 122 2" xfId="10672"/>
    <cellStyle name="20% - Accent2 123" xfId="5360"/>
    <cellStyle name="20% - Accent2 123 2" xfId="10689"/>
    <cellStyle name="20% - Accent2 124" xfId="10703"/>
    <cellStyle name="20% - Accent2 125" xfId="5371"/>
    <cellStyle name="20% - Accent2 126" xfId="10717"/>
    <cellStyle name="20% - Accent2 127" xfId="10731"/>
    <cellStyle name="20% - Accent2 128" xfId="10745"/>
    <cellStyle name="20% - Accent2 129" xfId="10759"/>
    <cellStyle name="20% - Accent2 13" xfId="204"/>
    <cellStyle name="20% - Accent2 13 2" xfId="681"/>
    <cellStyle name="20% - Accent2 13 2 2" xfId="3584"/>
    <cellStyle name="20% - Accent2 13 2 2 2" xfId="8917"/>
    <cellStyle name="20% - Accent2 13 2 3" xfId="2027"/>
    <cellStyle name="20% - Accent2 13 2 3 2" xfId="7361"/>
    <cellStyle name="20% - Accent2 13 2 4" xfId="6018"/>
    <cellStyle name="20% - Accent2 13 3" xfId="3585"/>
    <cellStyle name="20% - Accent2 13 3 2" xfId="8918"/>
    <cellStyle name="20% - Accent2 13 4" xfId="2026"/>
    <cellStyle name="20% - Accent2 13 4 2" xfId="7360"/>
    <cellStyle name="20% - Accent2 13 5" xfId="5542"/>
    <cellStyle name="20% - Accent2 130" xfId="10773"/>
    <cellStyle name="20% - Accent2 131" xfId="10788"/>
    <cellStyle name="20% - Accent2 132" xfId="10802"/>
    <cellStyle name="20% - Accent2 133" xfId="10816"/>
    <cellStyle name="20% - Accent2 134" xfId="10830"/>
    <cellStyle name="20% - Accent2 135" xfId="10844"/>
    <cellStyle name="20% - Accent2 136" xfId="10858"/>
    <cellStyle name="20% - Accent2 137" xfId="10872"/>
    <cellStyle name="20% - Accent2 138" xfId="10886"/>
    <cellStyle name="20% - Accent2 139" xfId="10900"/>
    <cellStyle name="20% - Accent2 14" xfId="218"/>
    <cellStyle name="20% - Accent2 14 2" xfId="695"/>
    <cellStyle name="20% - Accent2 14 2 2" xfId="3586"/>
    <cellStyle name="20% - Accent2 14 2 2 2" xfId="8919"/>
    <cellStyle name="20% - Accent2 14 2 3" xfId="2029"/>
    <cellStyle name="20% - Accent2 14 2 3 2" xfId="7363"/>
    <cellStyle name="20% - Accent2 14 2 4" xfId="6032"/>
    <cellStyle name="20% - Accent2 14 3" xfId="3587"/>
    <cellStyle name="20% - Accent2 14 3 2" xfId="8920"/>
    <cellStyle name="20% - Accent2 14 4" xfId="2028"/>
    <cellStyle name="20% - Accent2 14 4 2" xfId="7362"/>
    <cellStyle name="20% - Accent2 14 5" xfId="5556"/>
    <cellStyle name="20% - Accent2 140" xfId="10914"/>
    <cellStyle name="20% - Accent2 141" xfId="10928"/>
    <cellStyle name="20% - Accent2 142" xfId="10942"/>
    <cellStyle name="20% - Accent2 143" xfId="10956"/>
    <cellStyle name="20% - Accent2 144" xfId="10970"/>
    <cellStyle name="20% - Accent2 145" xfId="10984"/>
    <cellStyle name="20% - Accent2 146" xfId="10998"/>
    <cellStyle name="20% - Accent2 147" xfId="11012"/>
    <cellStyle name="20% - Accent2 148" xfId="11026"/>
    <cellStyle name="20% - Accent2 149" xfId="11040"/>
    <cellStyle name="20% - Accent2 15" xfId="232"/>
    <cellStyle name="20% - Accent2 15 2" xfId="709"/>
    <cellStyle name="20% - Accent2 15 2 2" xfId="3588"/>
    <cellStyle name="20% - Accent2 15 2 2 2" xfId="8921"/>
    <cellStyle name="20% - Accent2 15 2 3" xfId="2031"/>
    <cellStyle name="20% - Accent2 15 2 3 2" xfId="7365"/>
    <cellStyle name="20% - Accent2 15 2 4" xfId="6046"/>
    <cellStyle name="20% - Accent2 15 3" xfId="3589"/>
    <cellStyle name="20% - Accent2 15 3 2" xfId="8922"/>
    <cellStyle name="20% - Accent2 15 4" xfId="2030"/>
    <cellStyle name="20% - Accent2 15 4 2" xfId="7364"/>
    <cellStyle name="20% - Accent2 15 5" xfId="5570"/>
    <cellStyle name="20% - Accent2 150" xfId="11054"/>
    <cellStyle name="20% - Accent2 16" xfId="246"/>
    <cellStyle name="20% - Accent2 16 2" xfId="723"/>
    <cellStyle name="20% - Accent2 16 2 2" xfId="3590"/>
    <cellStyle name="20% - Accent2 16 2 2 2" xfId="8923"/>
    <cellStyle name="20% - Accent2 16 2 3" xfId="2033"/>
    <cellStyle name="20% - Accent2 16 2 3 2" xfId="7367"/>
    <cellStyle name="20% - Accent2 16 2 4" xfId="6060"/>
    <cellStyle name="20% - Accent2 16 3" xfId="3591"/>
    <cellStyle name="20% - Accent2 16 3 2" xfId="8924"/>
    <cellStyle name="20% - Accent2 16 4" xfId="2032"/>
    <cellStyle name="20% - Accent2 16 4 2" xfId="7366"/>
    <cellStyle name="20% - Accent2 16 5" xfId="5584"/>
    <cellStyle name="20% - Accent2 17" xfId="260"/>
    <cellStyle name="20% - Accent2 17 2" xfId="737"/>
    <cellStyle name="20% - Accent2 17 2 2" xfId="3592"/>
    <cellStyle name="20% - Accent2 17 2 2 2" xfId="8925"/>
    <cellStyle name="20% - Accent2 17 2 3" xfId="2035"/>
    <cellStyle name="20% - Accent2 17 2 3 2" xfId="7369"/>
    <cellStyle name="20% - Accent2 17 2 4" xfId="6074"/>
    <cellStyle name="20% - Accent2 17 3" xfId="3593"/>
    <cellStyle name="20% - Accent2 17 3 2" xfId="8926"/>
    <cellStyle name="20% - Accent2 17 4" xfId="2034"/>
    <cellStyle name="20% - Accent2 17 4 2" xfId="7368"/>
    <cellStyle name="20% - Accent2 17 5" xfId="5598"/>
    <cellStyle name="20% - Accent2 18" xfId="274"/>
    <cellStyle name="20% - Accent2 18 2" xfId="751"/>
    <cellStyle name="20% - Accent2 18 2 2" xfId="3594"/>
    <cellStyle name="20% - Accent2 18 2 2 2" xfId="8927"/>
    <cellStyle name="20% - Accent2 18 2 3" xfId="2037"/>
    <cellStyle name="20% - Accent2 18 2 3 2" xfId="7371"/>
    <cellStyle name="20% - Accent2 18 2 4" xfId="6088"/>
    <cellStyle name="20% - Accent2 18 3" xfId="3595"/>
    <cellStyle name="20% - Accent2 18 3 2" xfId="8928"/>
    <cellStyle name="20% - Accent2 18 4" xfId="2036"/>
    <cellStyle name="20% - Accent2 18 4 2" xfId="7370"/>
    <cellStyle name="20% - Accent2 18 5" xfId="5612"/>
    <cellStyle name="20% - Accent2 19" xfId="288"/>
    <cellStyle name="20% - Accent2 19 2" xfId="765"/>
    <cellStyle name="20% - Accent2 19 2 2" xfId="3596"/>
    <cellStyle name="20% - Accent2 19 2 2 2" xfId="8929"/>
    <cellStyle name="20% - Accent2 19 2 3" xfId="2039"/>
    <cellStyle name="20% - Accent2 19 2 3 2" xfId="7373"/>
    <cellStyle name="20% - Accent2 19 2 4" xfId="6102"/>
    <cellStyle name="20% - Accent2 19 3" xfId="3597"/>
    <cellStyle name="20% - Accent2 19 3 2" xfId="8930"/>
    <cellStyle name="20% - Accent2 19 4" xfId="2038"/>
    <cellStyle name="20% - Accent2 19 4 2" xfId="7372"/>
    <cellStyle name="20% - Accent2 19 5" xfId="5626"/>
    <cellStyle name="20% - Accent2 2" xfId="50"/>
    <cellStyle name="20% - Accent2 2 2" xfId="527"/>
    <cellStyle name="20% - Accent2 2 2 2" xfId="3598"/>
    <cellStyle name="20% - Accent2 2 2 2 2" xfId="8931"/>
    <cellStyle name="20% - Accent2 2 2 3" xfId="2041"/>
    <cellStyle name="20% - Accent2 2 2 3 2" xfId="7375"/>
    <cellStyle name="20% - Accent2 2 2 4" xfId="5864"/>
    <cellStyle name="20% - Accent2 2 3" xfId="3599"/>
    <cellStyle name="20% - Accent2 2 3 2" xfId="8932"/>
    <cellStyle name="20% - Accent2 2 4" xfId="2040"/>
    <cellStyle name="20% - Accent2 2 4 2" xfId="7374"/>
    <cellStyle name="20% - Accent2 2 5" xfId="5388"/>
    <cellStyle name="20% - Accent2 20" xfId="302"/>
    <cellStyle name="20% - Accent2 20 2" xfId="779"/>
    <cellStyle name="20% - Accent2 20 2 2" xfId="3600"/>
    <cellStyle name="20% - Accent2 20 2 2 2" xfId="8933"/>
    <cellStyle name="20% - Accent2 20 2 3" xfId="2043"/>
    <cellStyle name="20% - Accent2 20 2 3 2" xfId="7377"/>
    <cellStyle name="20% - Accent2 20 2 4" xfId="6116"/>
    <cellStyle name="20% - Accent2 20 3" xfId="3601"/>
    <cellStyle name="20% - Accent2 20 3 2" xfId="8934"/>
    <cellStyle name="20% - Accent2 20 4" xfId="2042"/>
    <cellStyle name="20% - Accent2 20 4 2" xfId="7376"/>
    <cellStyle name="20% - Accent2 20 5" xfId="5640"/>
    <cellStyle name="20% - Accent2 21" xfId="317"/>
    <cellStyle name="20% - Accent2 21 2" xfId="794"/>
    <cellStyle name="20% - Accent2 21 2 2" xfId="3602"/>
    <cellStyle name="20% - Accent2 21 2 2 2" xfId="8935"/>
    <cellStyle name="20% - Accent2 21 2 3" xfId="2045"/>
    <cellStyle name="20% - Accent2 21 2 3 2" xfId="7379"/>
    <cellStyle name="20% - Accent2 21 2 4" xfId="6130"/>
    <cellStyle name="20% - Accent2 21 3" xfId="3603"/>
    <cellStyle name="20% - Accent2 21 3 2" xfId="8936"/>
    <cellStyle name="20% - Accent2 21 4" xfId="2044"/>
    <cellStyle name="20% - Accent2 21 4 2" xfId="7378"/>
    <cellStyle name="20% - Accent2 21 5" xfId="5654"/>
    <cellStyle name="20% - Accent2 22" xfId="331"/>
    <cellStyle name="20% - Accent2 22 2" xfId="808"/>
    <cellStyle name="20% - Accent2 22 2 2" xfId="3604"/>
    <cellStyle name="20% - Accent2 22 2 2 2" xfId="8937"/>
    <cellStyle name="20% - Accent2 22 2 3" xfId="2047"/>
    <cellStyle name="20% - Accent2 22 2 3 2" xfId="7381"/>
    <cellStyle name="20% - Accent2 22 2 4" xfId="6144"/>
    <cellStyle name="20% - Accent2 22 3" xfId="3605"/>
    <cellStyle name="20% - Accent2 22 3 2" xfId="8938"/>
    <cellStyle name="20% - Accent2 22 4" xfId="2046"/>
    <cellStyle name="20% - Accent2 22 4 2" xfId="7380"/>
    <cellStyle name="20% - Accent2 22 5" xfId="5668"/>
    <cellStyle name="20% - Accent2 23" xfId="345"/>
    <cellStyle name="20% - Accent2 23 2" xfId="822"/>
    <cellStyle name="20% - Accent2 23 2 2" xfId="3606"/>
    <cellStyle name="20% - Accent2 23 2 2 2" xfId="8939"/>
    <cellStyle name="20% - Accent2 23 2 3" xfId="2049"/>
    <cellStyle name="20% - Accent2 23 2 3 2" xfId="7383"/>
    <cellStyle name="20% - Accent2 23 2 4" xfId="6158"/>
    <cellStyle name="20% - Accent2 23 3" xfId="3607"/>
    <cellStyle name="20% - Accent2 23 3 2" xfId="8940"/>
    <cellStyle name="20% - Accent2 23 4" xfId="2048"/>
    <cellStyle name="20% - Accent2 23 4 2" xfId="7382"/>
    <cellStyle name="20% - Accent2 23 5" xfId="5682"/>
    <cellStyle name="20% - Accent2 24" xfId="359"/>
    <cellStyle name="20% - Accent2 24 2" xfId="836"/>
    <cellStyle name="20% - Accent2 24 2 2" xfId="3608"/>
    <cellStyle name="20% - Accent2 24 2 2 2" xfId="8941"/>
    <cellStyle name="20% - Accent2 24 2 3" xfId="2051"/>
    <cellStyle name="20% - Accent2 24 2 3 2" xfId="7385"/>
    <cellStyle name="20% - Accent2 24 2 4" xfId="6172"/>
    <cellStyle name="20% - Accent2 24 3" xfId="3609"/>
    <cellStyle name="20% - Accent2 24 3 2" xfId="8942"/>
    <cellStyle name="20% - Accent2 24 4" xfId="2050"/>
    <cellStyle name="20% - Accent2 24 4 2" xfId="7384"/>
    <cellStyle name="20% - Accent2 24 5" xfId="5696"/>
    <cellStyle name="20% - Accent2 25" xfId="373"/>
    <cellStyle name="20% - Accent2 25 2" xfId="850"/>
    <cellStyle name="20% - Accent2 25 2 2" xfId="3610"/>
    <cellStyle name="20% - Accent2 25 2 2 2" xfId="8943"/>
    <cellStyle name="20% - Accent2 25 2 3" xfId="2053"/>
    <cellStyle name="20% - Accent2 25 2 3 2" xfId="7387"/>
    <cellStyle name="20% - Accent2 25 2 4" xfId="6186"/>
    <cellStyle name="20% - Accent2 25 3" xfId="3611"/>
    <cellStyle name="20% - Accent2 25 3 2" xfId="8944"/>
    <cellStyle name="20% - Accent2 25 4" xfId="2052"/>
    <cellStyle name="20% - Accent2 25 4 2" xfId="7386"/>
    <cellStyle name="20% - Accent2 25 5" xfId="5710"/>
    <cellStyle name="20% - Accent2 26" xfId="387"/>
    <cellStyle name="20% - Accent2 26 2" xfId="864"/>
    <cellStyle name="20% - Accent2 26 2 2" xfId="3612"/>
    <cellStyle name="20% - Accent2 26 2 2 2" xfId="8945"/>
    <cellStyle name="20% - Accent2 26 2 3" xfId="2055"/>
    <cellStyle name="20% - Accent2 26 2 3 2" xfId="7389"/>
    <cellStyle name="20% - Accent2 26 2 4" xfId="6200"/>
    <cellStyle name="20% - Accent2 26 3" xfId="3613"/>
    <cellStyle name="20% - Accent2 26 3 2" xfId="8946"/>
    <cellStyle name="20% - Accent2 26 4" xfId="2054"/>
    <cellStyle name="20% - Accent2 26 4 2" xfId="7388"/>
    <cellStyle name="20% - Accent2 26 5" xfId="5724"/>
    <cellStyle name="20% - Accent2 27" xfId="401"/>
    <cellStyle name="20% - Accent2 27 2" xfId="878"/>
    <cellStyle name="20% - Accent2 27 2 2" xfId="3614"/>
    <cellStyle name="20% - Accent2 27 2 2 2" xfId="8947"/>
    <cellStyle name="20% - Accent2 27 2 3" xfId="2057"/>
    <cellStyle name="20% - Accent2 27 2 3 2" xfId="7391"/>
    <cellStyle name="20% - Accent2 27 2 4" xfId="6214"/>
    <cellStyle name="20% - Accent2 27 3" xfId="3615"/>
    <cellStyle name="20% - Accent2 27 3 2" xfId="8948"/>
    <cellStyle name="20% - Accent2 27 4" xfId="2056"/>
    <cellStyle name="20% - Accent2 27 4 2" xfId="7390"/>
    <cellStyle name="20% - Accent2 27 5" xfId="5738"/>
    <cellStyle name="20% - Accent2 28" xfId="415"/>
    <cellStyle name="20% - Accent2 28 2" xfId="892"/>
    <cellStyle name="20% - Accent2 28 2 2" xfId="3616"/>
    <cellStyle name="20% - Accent2 28 2 2 2" xfId="8949"/>
    <cellStyle name="20% - Accent2 28 2 3" xfId="2059"/>
    <cellStyle name="20% - Accent2 28 2 3 2" xfId="7393"/>
    <cellStyle name="20% - Accent2 28 2 4" xfId="6228"/>
    <cellStyle name="20% - Accent2 28 3" xfId="3617"/>
    <cellStyle name="20% - Accent2 28 3 2" xfId="8950"/>
    <cellStyle name="20% - Accent2 28 4" xfId="2058"/>
    <cellStyle name="20% - Accent2 28 4 2" xfId="7392"/>
    <cellStyle name="20% - Accent2 28 5" xfId="5752"/>
    <cellStyle name="20% - Accent2 29" xfId="429"/>
    <cellStyle name="20% - Accent2 29 2" xfId="906"/>
    <cellStyle name="20% - Accent2 29 2 2" xfId="3618"/>
    <cellStyle name="20% - Accent2 29 2 2 2" xfId="8951"/>
    <cellStyle name="20% - Accent2 29 2 3" xfId="2061"/>
    <cellStyle name="20% - Accent2 29 2 3 2" xfId="7395"/>
    <cellStyle name="20% - Accent2 29 2 4" xfId="6242"/>
    <cellStyle name="20% - Accent2 29 3" xfId="3619"/>
    <cellStyle name="20% - Accent2 29 3 2" xfId="8952"/>
    <cellStyle name="20% - Accent2 29 4" xfId="2060"/>
    <cellStyle name="20% - Accent2 29 4 2" xfId="7394"/>
    <cellStyle name="20% - Accent2 29 5" xfId="5766"/>
    <cellStyle name="20% - Accent2 3" xfId="64"/>
    <cellStyle name="20% - Accent2 3 2" xfId="541"/>
    <cellStyle name="20% - Accent2 3 2 2" xfId="3620"/>
    <cellStyle name="20% - Accent2 3 2 2 2" xfId="8953"/>
    <cellStyle name="20% - Accent2 3 2 3" xfId="2063"/>
    <cellStyle name="20% - Accent2 3 2 3 2" xfId="7397"/>
    <cellStyle name="20% - Accent2 3 2 4" xfId="5878"/>
    <cellStyle name="20% - Accent2 3 3" xfId="3621"/>
    <cellStyle name="20% - Accent2 3 3 2" xfId="8954"/>
    <cellStyle name="20% - Accent2 3 4" xfId="2062"/>
    <cellStyle name="20% - Accent2 3 4 2" xfId="7396"/>
    <cellStyle name="20% - Accent2 3 5" xfId="5402"/>
    <cellStyle name="20% - Accent2 30" xfId="443"/>
    <cellStyle name="20% - Accent2 30 2" xfId="920"/>
    <cellStyle name="20% - Accent2 30 2 2" xfId="3622"/>
    <cellStyle name="20% - Accent2 30 2 2 2" xfId="8955"/>
    <cellStyle name="20% - Accent2 30 2 3" xfId="2065"/>
    <cellStyle name="20% - Accent2 30 2 3 2" xfId="7399"/>
    <cellStyle name="20% - Accent2 30 2 4" xfId="6256"/>
    <cellStyle name="20% - Accent2 30 3" xfId="3623"/>
    <cellStyle name="20% - Accent2 30 3 2" xfId="8956"/>
    <cellStyle name="20% - Accent2 30 4" xfId="2064"/>
    <cellStyle name="20% - Accent2 30 4 2" xfId="7398"/>
    <cellStyle name="20% - Accent2 30 5" xfId="5780"/>
    <cellStyle name="20% - Accent2 31" xfId="457"/>
    <cellStyle name="20% - Accent2 31 2" xfId="934"/>
    <cellStyle name="20% - Accent2 31 2 2" xfId="3624"/>
    <cellStyle name="20% - Accent2 31 2 2 2" xfId="8957"/>
    <cellStyle name="20% - Accent2 31 2 3" xfId="2067"/>
    <cellStyle name="20% - Accent2 31 2 3 2" xfId="7401"/>
    <cellStyle name="20% - Accent2 31 2 4" xfId="6270"/>
    <cellStyle name="20% - Accent2 31 3" xfId="3625"/>
    <cellStyle name="20% - Accent2 31 3 2" xfId="8958"/>
    <cellStyle name="20% - Accent2 31 4" xfId="2066"/>
    <cellStyle name="20% - Accent2 31 4 2" xfId="7400"/>
    <cellStyle name="20% - Accent2 31 5" xfId="5794"/>
    <cellStyle name="20% - Accent2 32" xfId="471"/>
    <cellStyle name="20% - Accent2 32 2" xfId="948"/>
    <cellStyle name="20% - Accent2 32 2 2" xfId="3626"/>
    <cellStyle name="20% - Accent2 32 2 2 2" xfId="8959"/>
    <cellStyle name="20% - Accent2 32 2 3" xfId="2069"/>
    <cellStyle name="20% - Accent2 32 2 3 2" xfId="7403"/>
    <cellStyle name="20% - Accent2 32 2 4" xfId="6284"/>
    <cellStyle name="20% - Accent2 32 3" xfId="3627"/>
    <cellStyle name="20% - Accent2 32 3 2" xfId="8960"/>
    <cellStyle name="20% - Accent2 32 4" xfId="2068"/>
    <cellStyle name="20% - Accent2 32 4 2" xfId="7402"/>
    <cellStyle name="20% - Accent2 32 5" xfId="5808"/>
    <cellStyle name="20% - Accent2 33" xfId="485"/>
    <cellStyle name="20% - Accent2 33 2" xfId="962"/>
    <cellStyle name="20% - Accent2 33 2 2" xfId="3628"/>
    <cellStyle name="20% - Accent2 33 2 2 2" xfId="8961"/>
    <cellStyle name="20% - Accent2 33 2 3" xfId="2071"/>
    <cellStyle name="20% - Accent2 33 2 3 2" xfId="7405"/>
    <cellStyle name="20% - Accent2 33 2 4" xfId="6298"/>
    <cellStyle name="20% - Accent2 33 3" xfId="3629"/>
    <cellStyle name="20% - Accent2 33 3 2" xfId="8962"/>
    <cellStyle name="20% - Accent2 33 4" xfId="2070"/>
    <cellStyle name="20% - Accent2 33 4 2" xfId="7404"/>
    <cellStyle name="20% - Accent2 33 5" xfId="5822"/>
    <cellStyle name="20% - Accent2 34" xfId="499"/>
    <cellStyle name="20% - Accent2 34 2" xfId="976"/>
    <cellStyle name="20% - Accent2 34 2 2" xfId="3630"/>
    <cellStyle name="20% - Accent2 34 2 2 2" xfId="8963"/>
    <cellStyle name="20% - Accent2 34 2 3" xfId="2073"/>
    <cellStyle name="20% - Accent2 34 2 3 2" xfId="7407"/>
    <cellStyle name="20% - Accent2 34 2 4" xfId="6312"/>
    <cellStyle name="20% - Accent2 34 3" xfId="3631"/>
    <cellStyle name="20% - Accent2 34 3 2" xfId="8964"/>
    <cellStyle name="20% - Accent2 34 4" xfId="2072"/>
    <cellStyle name="20% - Accent2 34 4 2" xfId="7406"/>
    <cellStyle name="20% - Accent2 34 5" xfId="5836"/>
    <cellStyle name="20% - Accent2 35" xfId="990"/>
    <cellStyle name="20% - Accent2 35 2" xfId="3632"/>
    <cellStyle name="20% - Accent2 35 2 2" xfId="8965"/>
    <cellStyle name="20% - Accent2 35 3" xfId="2074"/>
    <cellStyle name="20% - Accent2 35 3 2" xfId="7408"/>
    <cellStyle name="20% - Accent2 35 4" xfId="6326"/>
    <cellStyle name="20% - Accent2 36" xfId="1004"/>
    <cellStyle name="20% - Accent2 36 2" xfId="3633"/>
    <cellStyle name="20% - Accent2 36 2 2" xfId="8966"/>
    <cellStyle name="20% - Accent2 36 3" xfId="2075"/>
    <cellStyle name="20% - Accent2 36 3 2" xfId="7409"/>
    <cellStyle name="20% - Accent2 36 4" xfId="6340"/>
    <cellStyle name="20% - Accent2 37" xfId="1018"/>
    <cellStyle name="20% - Accent2 37 2" xfId="3634"/>
    <cellStyle name="20% - Accent2 37 2 2" xfId="8967"/>
    <cellStyle name="20% - Accent2 37 3" xfId="2076"/>
    <cellStyle name="20% - Accent2 37 3 2" xfId="7410"/>
    <cellStyle name="20% - Accent2 37 4" xfId="6354"/>
    <cellStyle name="20% - Accent2 38" xfId="510"/>
    <cellStyle name="20% - Accent2 38 2" xfId="3635"/>
    <cellStyle name="20% - Accent2 38 2 2" xfId="8968"/>
    <cellStyle name="20% - Accent2 38 3" xfId="2077"/>
    <cellStyle name="20% - Accent2 38 3 2" xfId="7411"/>
    <cellStyle name="20% - Accent2 38 4" xfId="5847"/>
    <cellStyle name="20% - Accent2 39" xfId="1032"/>
    <cellStyle name="20% - Accent2 39 2" xfId="3636"/>
    <cellStyle name="20% - Accent2 39 2 2" xfId="8969"/>
    <cellStyle name="20% - Accent2 39 3" xfId="2963"/>
    <cellStyle name="20% - Accent2 39 3 2" xfId="8297"/>
    <cellStyle name="20% - Accent2 39 4" xfId="6368"/>
    <cellStyle name="20% - Accent2 4" xfId="78"/>
    <cellStyle name="20% - Accent2 4 2" xfId="555"/>
    <cellStyle name="20% - Accent2 4 2 2" xfId="3637"/>
    <cellStyle name="20% - Accent2 4 2 2 2" xfId="8970"/>
    <cellStyle name="20% - Accent2 4 2 3" xfId="2079"/>
    <cellStyle name="20% - Accent2 4 2 3 2" xfId="7413"/>
    <cellStyle name="20% - Accent2 4 2 4" xfId="5892"/>
    <cellStyle name="20% - Accent2 4 3" xfId="3638"/>
    <cellStyle name="20% - Accent2 4 3 2" xfId="8971"/>
    <cellStyle name="20% - Accent2 4 4" xfId="2078"/>
    <cellStyle name="20% - Accent2 4 4 2" xfId="7412"/>
    <cellStyle name="20% - Accent2 4 5" xfId="5416"/>
    <cellStyle name="20% - Accent2 40" xfId="1046"/>
    <cellStyle name="20% - Accent2 40 2" xfId="3639"/>
    <cellStyle name="20% - Accent2 40 2 2" xfId="8972"/>
    <cellStyle name="20% - Accent2 40 3" xfId="2964"/>
    <cellStyle name="20% - Accent2 40 3 2" xfId="8298"/>
    <cellStyle name="20% - Accent2 40 4" xfId="6382"/>
    <cellStyle name="20% - Accent2 41" xfId="1060"/>
    <cellStyle name="20% - Accent2 41 2" xfId="3640"/>
    <cellStyle name="20% - Accent2 41 2 2" xfId="8973"/>
    <cellStyle name="20% - Accent2 41 3" xfId="2965"/>
    <cellStyle name="20% - Accent2 41 3 2" xfId="8299"/>
    <cellStyle name="20% - Accent2 41 4" xfId="6396"/>
    <cellStyle name="20% - Accent2 42" xfId="1074"/>
    <cellStyle name="20% - Accent2 42 2" xfId="3641"/>
    <cellStyle name="20% - Accent2 42 2 2" xfId="8974"/>
    <cellStyle name="20% - Accent2 42 3" xfId="2966"/>
    <cellStyle name="20% - Accent2 42 3 2" xfId="8300"/>
    <cellStyle name="20% - Accent2 42 4" xfId="6410"/>
    <cellStyle name="20% - Accent2 43" xfId="1088"/>
    <cellStyle name="20% - Accent2 43 2" xfId="3642"/>
    <cellStyle name="20% - Accent2 43 2 2" xfId="8975"/>
    <cellStyle name="20% - Accent2 43 3" xfId="2967"/>
    <cellStyle name="20% - Accent2 43 3 2" xfId="8301"/>
    <cellStyle name="20% - Accent2 43 4" xfId="6424"/>
    <cellStyle name="20% - Accent2 44" xfId="1102"/>
    <cellStyle name="20% - Accent2 44 2" xfId="3643"/>
    <cellStyle name="20% - Accent2 44 2 2" xfId="8976"/>
    <cellStyle name="20% - Accent2 44 3" xfId="2968"/>
    <cellStyle name="20% - Accent2 44 3 2" xfId="8302"/>
    <cellStyle name="20% - Accent2 44 4" xfId="6438"/>
    <cellStyle name="20% - Accent2 45" xfId="1116"/>
    <cellStyle name="20% - Accent2 45 2" xfId="3644"/>
    <cellStyle name="20% - Accent2 45 2 2" xfId="8977"/>
    <cellStyle name="20% - Accent2 45 3" xfId="2969"/>
    <cellStyle name="20% - Accent2 45 3 2" xfId="8303"/>
    <cellStyle name="20% - Accent2 45 4" xfId="6452"/>
    <cellStyle name="20% - Accent2 46" xfId="1130"/>
    <cellStyle name="20% - Accent2 46 2" xfId="3645"/>
    <cellStyle name="20% - Accent2 46 2 2" xfId="8978"/>
    <cellStyle name="20% - Accent2 46 3" xfId="2970"/>
    <cellStyle name="20% - Accent2 46 3 2" xfId="8304"/>
    <cellStyle name="20% - Accent2 46 4" xfId="6466"/>
    <cellStyle name="20% - Accent2 47" xfId="1144"/>
    <cellStyle name="20% - Accent2 47 2" xfId="3646"/>
    <cellStyle name="20% - Accent2 47 2 2" xfId="8979"/>
    <cellStyle name="20% - Accent2 47 3" xfId="2971"/>
    <cellStyle name="20% - Accent2 47 3 2" xfId="8305"/>
    <cellStyle name="20% - Accent2 47 4" xfId="6480"/>
    <cellStyle name="20% - Accent2 48" xfId="1158"/>
    <cellStyle name="20% - Accent2 48 2" xfId="3647"/>
    <cellStyle name="20% - Accent2 48 2 2" xfId="8980"/>
    <cellStyle name="20% - Accent2 48 3" xfId="2972"/>
    <cellStyle name="20% - Accent2 48 3 2" xfId="8306"/>
    <cellStyle name="20% - Accent2 48 4" xfId="6494"/>
    <cellStyle name="20% - Accent2 49" xfId="1172"/>
    <cellStyle name="20% - Accent2 49 2" xfId="3648"/>
    <cellStyle name="20% - Accent2 49 2 2" xfId="8981"/>
    <cellStyle name="20% - Accent2 49 3" xfId="2973"/>
    <cellStyle name="20% - Accent2 49 3 2" xfId="8307"/>
    <cellStyle name="20% - Accent2 49 4" xfId="6508"/>
    <cellStyle name="20% - Accent2 5" xfId="92"/>
    <cellStyle name="20% - Accent2 5 2" xfId="569"/>
    <cellStyle name="20% - Accent2 5 2 2" xfId="3649"/>
    <cellStyle name="20% - Accent2 5 2 2 2" xfId="8982"/>
    <cellStyle name="20% - Accent2 5 2 3" xfId="2081"/>
    <cellStyle name="20% - Accent2 5 2 3 2" xfId="7415"/>
    <cellStyle name="20% - Accent2 5 2 4" xfId="5906"/>
    <cellStyle name="20% - Accent2 5 3" xfId="3650"/>
    <cellStyle name="20% - Accent2 5 3 2" xfId="8983"/>
    <cellStyle name="20% - Accent2 5 4" xfId="2080"/>
    <cellStyle name="20% - Accent2 5 4 2" xfId="7414"/>
    <cellStyle name="20% - Accent2 5 5" xfId="5430"/>
    <cellStyle name="20% - Accent2 50" xfId="1186"/>
    <cellStyle name="20% - Accent2 50 2" xfId="3651"/>
    <cellStyle name="20% - Accent2 50 2 2" xfId="8984"/>
    <cellStyle name="20% - Accent2 50 3" xfId="2974"/>
    <cellStyle name="20% - Accent2 50 3 2" xfId="8308"/>
    <cellStyle name="20% - Accent2 50 4" xfId="6522"/>
    <cellStyle name="20% - Accent2 51" xfId="1200"/>
    <cellStyle name="20% - Accent2 51 2" xfId="3652"/>
    <cellStyle name="20% - Accent2 51 2 2" xfId="8985"/>
    <cellStyle name="20% - Accent2 51 3" xfId="2975"/>
    <cellStyle name="20% - Accent2 51 3 2" xfId="8309"/>
    <cellStyle name="20% - Accent2 51 4" xfId="6536"/>
    <cellStyle name="20% - Accent2 52" xfId="1214"/>
    <cellStyle name="20% - Accent2 52 2" xfId="3653"/>
    <cellStyle name="20% - Accent2 52 2 2" xfId="8986"/>
    <cellStyle name="20% - Accent2 52 3" xfId="2976"/>
    <cellStyle name="20% - Accent2 52 3 2" xfId="8310"/>
    <cellStyle name="20% - Accent2 52 4" xfId="6550"/>
    <cellStyle name="20% - Accent2 53" xfId="1228"/>
    <cellStyle name="20% - Accent2 53 2" xfId="3654"/>
    <cellStyle name="20% - Accent2 53 2 2" xfId="8987"/>
    <cellStyle name="20% - Accent2 53 3" xfId="2977"/>
    <cellStyle name="20% - Accent2 53 3 2" xfId="8311"/>
    <cellStyle name="20% - Accent2 53 4" xfId="6564"/>
    <cellStyle name="20% - Accent2 54" xfId="1242"/>
    <cellStyle name="20% - Accent2 54 2" xfId="3655"/>
    <cellStyle name="20% - Accent2 54 2 2" xfId="8988"/>
    <cellStyle name="20% - Accent2 54 3" xfId="2978"/>
    <cellStyle name="20% - Accent2 54 3 2" xfId="8312"/>
    <cellStyle name="20% - Accent2 54 4" xfId="6578"/>
    <cellStyle name="20% - Accent2 55" xfId="1256"/>
    <cellStyle name="20% - Accent2 55 2" xfId="3656"/>
    <cellStyle name="20% - Accent2 55 2 2" xfId="8989"/>
    <cellStyle name="20% - Accent2 55 3" xfId="2979"/>
    <cellStyle name="20% - Accent2 55 3 2" xfId="8313"/>
    <cellStyle name="20% - Accent2 55 4" xfId="6592"/>
    <cellStyle name="20% - Accent2 56" xfId="1270"/>
    <cellStyle name="20% - Accent2 56 2" xfId="3657"/>
    <cellStyle name="20% - Accent2 56 2 2" xfId="8990"/>
    <cellStyle name="20% - Accent2 56 3" xfId="2980"/>
    <cellStyle name="20% - Accent2 56 3 2" xfId="8314"/>
    <cellStyle name="20% - Accent2 56 4" xfId="6606"/>
    <cellStyle name="20% - Accent2 57" xfId="1284"/>
    <cellStyle name="20% - Accent2 57 2" xfId="3658"/>
    <cellStyle name="20% - Accent2 57 2 2" xfId="8991"/>
    <cellStyle name="20% - Accent2 57 3" xfId="2981"/>
    <cellStyle name="20% - Accent2 57 3 2" xfId="8315"/>
    <cellStyle name="20% - Accent2 57 4" xfId="6620"/>
    <cellStyle name="20% - Accent2 58" xfId="1298"/>
    <cellStyle name="20% - Accent2 58 2" xfId="3659"/>
    <cellStyle name="20% - Accent2 58 2 2" xfId="8992"/>
    <cellStyle name="20% - Accent2 58 3" xfId="2982"/>
    <cellStyle name="20% - Accent2 58 3 2" xfId="8316"/>
    <cellStyle name="20% - Accent2 58 4" xfId="6634"/>
    <cellStyle name="20% - Accent2 59" xfId="1312"/>
    <cellStyle name="20% - Accent2 59 2" xfId="3660"/>
    <cellStyle name="20% - Accent2 59 2 2" xfId="8993"/>
    <cellStyle name="20% - Accent2 59 3" xfId="2983"/>
    <cellStyle name="20% - Accent2 59 3 2" xfId="8317"/>
    <cellStyle name="20% - Accent2 59 4" xfId="6648"/>
    <cellStyle name="20% - Accent2 6" xfId="106"/>
    <cellStyle name="20% - Accent2 6 2" xfId="583"/>
    <cellStyle name="20% - Accent2 6 2 2" xfId="3661"/>
    <cellStyle name="20% - Accent2 6 2 2 2" xfId="8994"/>
    <cellStyle name="20% - Accent2 6 2 3" xfId="2083"/>
    <cellStyle name="20% - Accent2 6 2 3 2" xfId="7417"/>
    <cellStyle name="20% - Accent2 6 2 4" xfId="5920"/>
    <cellStyle name="20% - Accent2 6 3" xfId="3662"/>
    <cellStyle name="20% - Accent2 6 3 2" xfId="8995"/>
    <cellStyle name="20% - Accent2 6 4" xfId="2082"/>
    <cellStyle name="20% - Accent2 6 4 2" xfId="7416"/>
    <cellStyle name="20% - Accent2 6 5" xfId="5444"/>
    <cellStyle name="20% - Accent2 60" xfId="1326"/>
    <cellStyle name="20% - Accent2 60 2" xfId="3663"/>
    <cellStyle name="20% - Accent2 60 2 2" xfId="8996"/>
    <cellStyle name="20% - Accent2 60 3" xfId="2984"/>
    <cellStyle name="20% - Accent2 60 3 2" xfId="8318"/>
    <cellStyle name="20% - Accent2 60 4" xfId="6662"/>
    <cellStyle name="20% - Accent2 61" xfId="1340"/>
    <cellStyle name="20% - Accent2 61 2" xfId="3664"/>
    <cellStyle name="20% - Accent2 61 2 2" xfId="8997"/>
    <cellStyle name="20% - Accent2 61 3" xfId="2985"/>
    <cellStyle name="20% - Accent2 61 3 2" xfId="8319"/>
    <cellStyle name="20% - Accent2 61 4" xfId="6676"/>
    <cellStyle name="20% - Accent2 62" xfId="1354"/>
    <cellStyle name="20% - Accent2 62 2" xfId="2986"/>
    <cellStyle name="20% - Accent2 62 2 2" xfId="8320"/>
    <cellStyle name="20% - Accent2 62 3" xfId="6690"/>
    <cellStyle name="20% - Accent2 63" xfId="1368"/>
    <cellStyle name="20% - Accent2 63 2" xfId="2987"/>
    <cellStyle name="20% - Accent2 63 2 2" xfId="8321"/>
    <cellStyle name="20% - Accent2 63 3" xfId="6704"/>
    <cellStyle name="20% - Accent2 64" xfId="1382"/>
    <cellStyle name="20% - Accent2 64 2" xfId="2988"/>
    <cellStyle name="20% - Accent2 64 2 2" xfId="8322"/>
    <cellStyle name="20% - Accent2 64 3" xfId="6718"/>
    <cellStyle name="20% - Accent2 65" xfId="1396"/>
    <cellStyle name="20% - Accent2 65 2" xfId="2989"/>
    <cellStyle name="20% - Accent2 65 2 2" xfId="8323"/>
    <cellStyle name="20% - Accent2 65 3" xfId="6732"/>
    <cellStyle name="20% - Accent2 66" xfId="1410"/>
    <cellStyle name="20% - Accent2 66 2" xfId="2990"/>
    <cellStyle name="20% - Accent2 66 2 2" xfId="8324"/>
    <cellStyle name="20% - Accent2 66 3" xfId="6746"/>
    <cellStyle name="20% - Accent2 67" xfId="1424"/>
    <cellStyle name="20% - Accent2 67 2" xfId="2991"/>
    <cellStyle name="20% - Accent2 67 2 2" xfId="8325"/>
    <cellStyle name="20% - Accent2 67 3" xfId="6760"/>
    <cellStyle name="20% - Accent2 68" xfId="1438"/>
    <cellStyle name="20% - Accent2 68 2" xfId="2992"/>
    <cellStyle name="20% - Accent2 68 2 2" xfId="8326"/>
    <cellStyle name="20% - Accent2 68 3" xfId="6774"/>
    <cellStyle name="20% - Accent2 69" xfId="1452"/>
    <cellStyle name="20% - Accent2 69 2" xfId="2993"/>
    <cellStyle name="20% - Accent2 69 2 2" xfId="8327"/>
    <cellStyle name="20% - Accent2 69 3" xfId="6788"/>
    <cellStyle name="20% - Accent2 7" xfId="120"/>
    <cellStyle name="20% - Accent2 7 2" xfId="597"/>
    <cellStyle name="20% - Accent2 7 2 2" xfId="3665"/>
    <cellStyle name="20% - Accent2 7 2 2 2" xfId="8998"/>
    <cellStyle name="20% - Accent2 7 2 3" xfId="2085"/>
    <cellStyle name="20% - Accent2 7 2 3 2" xfId="7419"/>
    <cellStyle name="20% - Accent2 7 2 4" xfId="5934"/>
    <cellStyle name="20% - Accent2 7 3" xfId="3666"/>
    <cellStyle name="20% - Accent2 7 3 2" xfId="8999"/>
    <cellStyle name="20% - Accent2 7 4" xfId="2084"/>
    <cellStyle name="20% - Accent2 7 4 2" xfId="7418"/>
    <cellStyle name="20% - Accent2 7 5" xfId="5458"/>
    <cellStyle name="20% - Accent2 70" xfId="1466"/>
    <cellStyle name="20% - Accent2 70 2" xfId="2994"/>
    <cellStyle name="20% - Accent2 70 2 2" xfId="8328"/>
    <cellStyle name="20% - Accent2 70 3" xfId="6802"/>
    <cellStyle name="20% - Accent2 71" xfId="1480"/>
    <cellStyle name="20% - Accent2 71 2" xfId="2995"/>
    <cellStyle name="20% - Accent2 71 2 2" xfId="8329"/>
    <cellStyle name="20% - Accent2 71 3" xfId="6816"/>
    <cellStyle name="20% - Accent2 72" xfId="1494"/>
    <cellStyle name="20% - Accent2 72 2" xfId="2996"/>
    <cellStyle name="20% - Accent2 72 2 2" xfId="8330"/>
    <cellStyle name="20% - Accent2 72 3" xfId="6830"/>
    <cellStyle name="20% - Accent2 73" xfId="1508"/>
    <cellStyle name="20% - Accent2 73 2" xfId="2997"/>
    <cellStyle name="20% - Accent2 73 2 2" xfId="8331"/>
    <cellStyle name="20% - Accent2 73 3" xfId="6844"/>
    <cellStyle name="20% - Accent2 74" xfId="1522"/>
    <cellStyle name="20% - Accent2 74 2" xfId="2998"/>
    <cellStyle name="20% - Accent2 74 2 2" xfId="8332"/>
    <cellStyle name="20% - Accent2 74 3" xfId="6858"/>
    <cellStyle name="20% - Accent2 75" xfId="1536"/>
    <cellStyle name="20% - Accent2 75 2" xfId="2999"/>
    <cellStyle name="20% - Accent2 75 2 2" xfId="8333"/>
    <cellStyle name="20% - Accent2 75 3" xfId="6872"/>
    <cellStyle name="20% - Accent2 76" xfId="1550"/>
    <cellStyle name="20% - Accent2 76 2" xfId="3436"/>
    <cellStyle name="20% - Accent2 76 2 2" xfId="8770"/>
    <cellStyle name="20% - Accent2 76 3" xfId="6886"/>
    <cellStyle name="20% - Accent2 77" xfId="1564"/>
    <cellStyle name="20% - Accent2 77 2" xfId="3437"/>
    <cellStyle name="20% - Accent2 77 2 2" xfId="8771"/>
    <cellStyle name="20% - Accent2 77 3" xfId="6900"/>
    <cellStyle name="20% - Accent2 78" xfId="1578"/>
    <cellStyle name="20% - Accent2 78 2" xfId="3438"/>
    <cellStyle name="20% - Accent2 78 2 2" xfId="8772"/>
    <cellStyle name="20% - Accent2 78 3" xfId="6914"/>
    <cellStyle name="20% - Accent2 79" xfId="1592"/>
    <cellStyle name="20% - Accent2 79 2" xfId="3439"/>
    <cellStyle name="20% - Accent2 79 2 2" xfId="8773"/>
    <cellStyle name="20% - Accent2 79 3" xfId="6928"/>
    <cellStyle name="20% - Accent2 8" xfId="134"/>
    <cellStyle name="20% - Accent2 8 2" xfId="611"/>
    <cellStyle name="20% - Accent2 8 2 2" xfId="3667"/>
    <cellStyle name="20% - Accent2 8 2 2 2" xfId="9000"/>
    <cellStyle name="20% - Accent2 8 2 3" xfId="2087"/>
    <cellStyle name="20% - Accent2 8 2 3 2" xfId="7421"/>
    <cellStyle name="20% - Accent2 8 2 4" xfId="5948"/>
    <cellStyle name="20% - Accent2 8 3" xfId="3668"/>
    <cellStyle name="20% - Accent2 8 3 2" xfId="9001"/>
    <cellStyle name="20% - Accent2 8 4" xfId="2086"/>
    <cellStyle name="20% - Accent2 8 4 2" xfId="7420"/>
    <cellStyle name="20% - Accent2 8 5" xfId="5472"/>
    <cellStyle name="20% - Accent2 80" xfId="1606"/>
    <cellStyle name="20% - Accent2 80 2" xfId="4799"/>
    <cellStyle name="20% - Accent2 80 2 2" xfId="10132"/>
    <cellStyle name="20% - Accent2 80 3" xfId="6942"/>
    <cellStyle name="20% - Accent2 81" xfId="1620"/>
    <cellStyle name="20% - Accent2 81 2" xfId="4800"/>
    <cellStyle name="20% - Accent2 81 2 2" xfId="10133"/>
    <cellStyle name="20% - Accent2 81 3" xfId="6956"/>
    <cellStyle name="20% - Accent2 82" xfId="1634"/>
    <cellStyle name="20% - Accent2 82 2" xfId="4801"/>
    <cellStyle name="20% - Accent2 82 2 2" xfId="10134"/>
    <cellStyle name="20% - Accent2 82 3" xfId="6970"/>
    <cellStyle name="20% - Accent2 83" xfId="1648"/>
    <cellStyle name="20% - Accent2 83 2" xfId="4802"/>
    <cellStyle name="20% - Accent2 83 2 2" xfId="10135"/>
    <cellStyle name="20% - Accent2 83 3" xfId="6984"/>
    <cellStyle name="20% - Accent2 84" xfId="1662"/>
    <cellStyle name="20% - Accent2 84 2" xfId="4803"/>
    <cellStyle name="20% - Accent2 84 2 2" xfId="10136"/>
    <cellStyle name="20% - Accent2 84 3" xfId="6998"/>
    <cellStyle name="20% - Accent2 85" xfId="1676"/>
    <cellStyle name="20% - Accent2 85 2" xfId="4865"/>
    <cellStyle name="20% - Accent2 85 2 2" xfId="10198"/>
    <cellStyle name="20% - Accent2 85 3" xfId="7012"/>
    <cellStyle name="20% - Accent2 86" xfId="1690"/>
    <cellStyle name="20% - Accent2 86 2" xfId="4866"/>
    <cellStyle name="20% - Accent2 86 2 2" xfId="10199"/>
    <cellStyle name="20% - Accent2 86 3" xfId="7026"/>
    <cellStyle name="20% - Accent2 87" xfId="1704"/>
    <cellStyle name="20% - Accent2 87 2" xfId="4867"/>
    <cellStyle name="20% - Accent2 87 2 2" xfId="10200"/>
    <cellStyle name="20% - Accent2 87 3" xfId="7040"/>
    <cellStyle name="20% - Accent2 88" xfId="1718"/>
    <cellStyle name="20% - Accent2 88 2" xfId="4912"/>
    <cellStyle name="20% - Accent2 88 2 2" xfId="10245"/>
    <cellStyle name="20% - Accent2 88 3" xfId="7054"/>
    <cellStyle name="20% - Accent2 89" xfId="1732"/>
    <cellStyle name="20% - Accent2 89 2" xfId="4913"/>
    <cellStyle name="20% - Accent2 89 2 2" xfId="10246"/>
    <cellStyle name="20% - Accent2 89 3" xfId="7068"/>
    <cellStyle name="20% - Accent2 9" xfId="148"/>
    <cellStyle name="20% - Accent2 9 2" xfId="625"/>
    <cellStyle name="20% - Accent2 9 2 2" xfId="3669"/>
    <cellStyle name="20% - Accent2 9 2 2 2" xfId="9002"/>
    <cellStyle name="20% - Accent2 9 2 3" xfId="2089"/>
    <cellStyle name="20% - Accent2 9 2 3 2" xfId="7423"/>
    <cellStyle name="20% - Accent2 9 2 4" xfId="5962"/>
    <cellStyle name="20% - Accent2 9 3" xfId="3670"/>
    <cellStyle name="20% - Accent2 9 3 2" xfId="9003"/>
    <cellStyle name="20% - Accent2 9 4" xfId="2088"/>
    <cellStyle name="20% - Accent2 9 4 2" xfId="7422"/>
    <cellStyle name="20% - Accent2 9 5" xfId="5486"/>
    <cellStyle name="20% - Accent2 90" xfId="1746"/>
    <cellStyle name="20% - Accent2 90 2" xfId="4914"/>
    <cellStyle name="20% - Accent2 90 2 2" xfId="10247"/>
    <cellStyle name="20% - Accent2 90 3" xfId="7082"/>
    <cellStyle name="20% - Accent2 91" xfId="1760"/>
    <cellStyle name="20% - Accent2 91 2" xfId="4915"/>
    <cellStyle name="20% - Accent2 91 2 2" xfId="10248"/>
    <cellStyle name="20% - Accent2 91 3" xfId="7096"/>
    <cellStyle name="20% - Accent2 92" xfId="1774"/>
    <cellStyle name="20% - Accent2 92 2" xfId="4916"/>
    <cellStyle name="20% - Accent2 92 2 2" xfId="10249"/>
    <cellStyle name="20% - Accent2 92 3" xfId="7110"/>
    <cellStyle name="20% - Accent2 93" xfId="1788"/>
    <cellStyle name="20% - Accent2 93 2" xfId="4917"/>
    <cellStyle name="20% - Accent2 93 2 2" xfId="10250"/>
    <cellStyle name="20% - Accent2 93 3" xfId="7124"/>
    <cellStyle name="20% - Accent2 94" xfId="1802"/>
    <cellStyle name="20% - Accent2 94 2" xfId="4991"/>
    <cellStyle name="20% - Accent2 94 2 2" xfId="10322"/>
    <cellStyle name="20% - Accent2 94 3" xfId="7138"/>
    <cellStyle name="20% - Accent2 95" xfId="1816"/>
    <cellStyle name="20% - Accent2 95 2" xfId="4992"/>
    <cellStyle name="20% - Accent2 95 2 2" xfId="10323"/>
    <cellStyle name="20% - Accent2 95 3" xfId="7152"/>
    <cellStyle name="20% - Accent2 96" xfId="1830"/>
    <cellStyle name="20% - Accent2 96 2" xfId="5022"/>
    <cellStyle name="20% - Accent2 96 2 2" xfId="10353"/>
    <cellStyle name="20% - Accent2 96 3" xfId="7166"/>
    <cellStyle name="20% - Accent2 97" xfId="1844"/>
    <cellStyle name="20% - Accent2 97 2" xfId="5023"/>
    <cellStyle name="20% - Accent2 97 2 2" xfId="10354"/>
    <cellStyle name="20% - Accent2 97 3" xfId="7180"/>
    <cellStyle name="20% - Accent2 98" xfId="1858"/>
    <cellStyle name="20% - Accent2 98 2" xfId="5024"/>
    <cellStyle name="20% - Accent2 98 2 2" xfId="10355"/>
    <cellStyle name="20% - Accent2 98 3" xfId="7194"/>
    <cellStyle name="20% - Accent2 99" xfId="1872"/>
    <cellStyle name="20% - Accent2 99 2" xfId="5025"/>
    <cellStyle name="20% - Accent2 99 2 2" xfId="10356"/>
    <cellStyle name="20% - Accent2 99 3" xfId="7208"/>
    <cellStyle name="20% - Accent3" xfId="3" builtinId="38" customBuiltin="1"/>
    <cellStyle name="20% - Accent3 10" xfId="164"/>
    <cellStyle name="20% - Accent3 10 2" xfId="641"/>
    <cellStyle name="20% - Accent3 10 2 2" xfId="3671"/>
    <cellStyle name="20% - Accent3 10 2 2 2" xfId="9004"/>
    <cellStyle name="20% - Accent3 10 2 3" xfId="2091"/>
    <cellStyle name="20% - Accent3 10 2 3 2" xfId="7425"/>
    <cellStyle name="20% - Accent3 10 2 4" xfId="5978"/>
    <cellStyle name="20% - Accent3 10 3" xfId="3672"/>
    <cellStyle name="20% - Accent3 10 3 2" xfId="9005"/>
    <cellStyle name="20% - Accent3 10 4" xfId="2090"/>
    <cellStyle name="20% - Accent3 10 4 2" xfId="7424"/>
    <cellStyle name="20% - Accent3 10 5" xfId="5502"/>
    <cellStyle name="20% - Accent3 100" xfId="1888"/>
    <cellStyle name="20% - Accent3 100 2" xfId="7224"/>
    <cellStyle name="20% - Accent3 101" xfId="1902"/>
    <cellStyle name="20% - Accent3 101 2" xfId="7238"/>
    <cellStyle name="20% - Accent3 102" xfId="1916"/>
    <cellStyle name="20% - Accent3 102 2" xfId="7252"/>
    <cellStyle name="20% - Accent3 103" xfId="5077"/>
    <cellStyle name="20% - Accent3 103 2" xfId="10408"/>
    <cellStyle name="20% - Accent3 104" xfId="5091"/>
    <cellStyle name="20% - Accent3 104 2" xfId="10422"/>
    <cellStyle name="20% - Accent3 105" xfId="5105"/>
    <cellStyle name="20% - Accent3 105 2" xfId="10436"/>
    <cellStyle name="20% - Accent3 106" xfId="5119"/>
    <cellStyle name="20% - Accent3 106 2" xfId="10450"/>
    <cellStyle name="20% - Accent3 107" xfId="5133"/>
    <cellStyle name="20% - Accent3 107 2" xfId="10464"/>
    <cellStyle name="20% - Accent3 108" xfId="5147"/>
    <cellStyle name="20% - Accent3 108 2" xfId="10478"/>
    <cellStyle name="20% - Accent3 109" xfId="5161"/>
    <cellStyle name="20% - Accent3 109 2" xfId="10492"/>
    <cellStyle name="20% - Accent3 11" xfId="178"/>
    <cellStyle name="20% - Accent3 11 2" xfId="655"/>
    <cellStyle name="20% - Accent3 11 2 2" xfId="3673"/>
    <cellStyle name="20% - Accent3 11 2 2 2" xfId="9006"/>
    <cellStyle name="20% - Accent3 11 2 3" xfId="2093"/>
    <cellStyle name="20% - Accent3 11 2 3 2" xfId="7427"/>
    <cellStyle name="20% - Accent3 11 2 4" xfId="5992"/>
    <cellStyle name="20% - Accent3 11 3" xfId="3674"/>
    <cellStyle name="20% - Accent3 11 3 2" xfId="9007"/>
    <cellStyle name="20% - Accent3 11 4" xfId="2092"/>
    <cellStyle name="20% - Accent3 11 4 2" xfId="7426"/>
    <cellStyle name="20% - Accent3 11 5" xfId="5516"/>
    <cellStyle name="20% - Accent3 110" xfId="5175"/>
    <cellStyle name="20% - Accent3 110 2" xfId="10506"/>
    <cellStyle name="20% - Accent3 111" xfId="5189"/>
    <cellStyle name="20% - Accent3 111 2" xfId="10520"/>
    <cellStyle name="20% - Accent3 112" xfId="5203"/>
    <cellStyle name="20% - Accent3 112 2" xfId="10534"/>
    <cellStyle name="20% - Accent3 113" xfId="5217"/>
    <cellStyle name="20% - Accent3 113 2" xfId="10548"/>
    <cellStyle name="20% - Accent3 114" xfId="5231"/>
    <cellStyle name="20% - Accent3 114 2" xfId="10562"/>
    <cellStyle name="20% - Accent3 115" xfId="5245"/>
    <cellStyle name="20% - Accent3 115 2" xfId="10576"/>
    <cellStyle name="20% - Accent3 116" xfId="5259"/>
    <cellStyle name="20% - Accent3 116 2" xfId="10590"/>
    <cellStyle name="20% - Accent3 117" xfId="5273"/>
    <cellStyle name="20% - Accent3 117 2" xfId="10604"/>
    <cellStyle name="20% - Accent3 118" xfId="5287"/>
    <cellStyle name="20% - Accent3 118 2" xfId="10618"/>
    <cellStyle name="20% - Accent3 119" xfId="5301"/>
    <cellStyle name="20% - Accent3 119 2" xfId="10632"/>
    <cellStyle name="20% - Accent3 12" xfId="192"/>
    <cellStyle name="20% - Accent3 12 2" xfId="669"/>
    <cellStyle name="20% - Accent3 12 2 2" xfId="3675"/>
    <cellStyle name="20% - Accent3 12 2 2 2" xfId="9008"/>
    <cellStyle name="20% - Accent3 12 2 3" xfId="2095"/>
    <cellStyle name="20% - Accent3 12 2 3 2" xfId="7429"/>
    <cellStyle name="20% - Accent3 12 2 4" xfId="6006"/>
    <cellStyle name="20% - Accent3 12 3" xfId="3676"/>
    <cellStyle name="20% - Accent3 12 3 2" xfId="9009"/>
    <cellStyle name="20% - Accent3 12 4" xfId="2094"/>
    <cellStyle name="20% - Accent3 12 4 2" xfId="7428"/>
    <cellStyle name="20% - Accent3 12 5" xfId="5530"/>
    <cellStyle name="20% - Accent3 120" xfId="5315"/>
    <cellStyle name="20% - Accent3 120 2" xfId="10646"/>
    <cellStyle name="20% - Accent3 121" xfId="5329"/>
    <cellStyle name="20% - Accent3 121 2" xfId="10660"/>
    <cellStyle name="20% - Accent3 122" xfId="5343"/>
    <cellStyle name="20% - Accent3 122 2" xfId="10674"/>
    <cellStyle name="20% - Accent3 123" xfId="5362"/>
    <cellStyle name="20% - Accent3 123 2" xfId="10691"/>
    <cellStyle name="20% - Accent3 124" xfId="10705"/>
    <cellStyle name="20% - Accent3 125" xfId="5372"/>
    <cellStyle name="20% - Accent3 126" xfId="10719"/>
    <cellStyle name="20% - Accent3 127" xfId="10733"/>
    <cellStyle name="20% - Accent3 128" xfId="10747"/>
    <cellStyle name="20% - Accent3 129" xfId="10761"/>
    <cellStyle name="20% - Accent3 13" xfId="206"/>
    <cellStyle name="20% - Accent3 13 2" xfId="683"/>
    <cellStyle name="20% - Accent3 13 2 2" xfId="3677"/>
    <cellStyle name="20% - Accent3 13 2 2 2" xfId="9010"/>
    <cellStyle name="20% - Accent3 13 2 3" xfId="2097"/>
    <cellStyle name="20% - Accent3 13 2 3 2" xfId="7431"/>
    <cellStyle name="20% - Accent3 13 2 4" xfId="6020"/>
    <cellStyle name="20% - Accent3 13 3" xfId="3678"/>
    <cellStyle name="20% - Accent3 13 3 2" xfId="9011"/>
    <cellStyle name="20% - Accent3 13 4" xfId="2096"/>
    <cellStyle name="20% - Accent3 13 4 2" xfId="7430"/>
    <cellStyle name="20% - Accent3 13 5" xfId="5544"/>
    <cellStyle name="20% - Accent3 130" xfId="10775"/>
    <cellStyle name="20% - Accent3 131" xfId="10790"/>
    <cellStyle name="20% - Accent3 132" xfId="10804"/>
    <cellStyle name="20% - Accent3 133" xfId="10818"/>
    <cellStyle name="20% - Accent3 134" xfId="10832"/>
    <cellStyle name="20% - Accent3 135" xfId="10846"/>
    <cellStyle name="20% - Accent3 136" xfId="10860"/>
    <cellStyle name="20% - Accent3 137" xfId="10874"/>
    <cellStyle name="20% - Accent3 138" xfId="10888"/>
    <cellStyle name="20% - Accent3 139" xfId="10902"/>
    <cellStyle name="20% - Accent3 14" xfId="220"/>
    <cellStyle name="20% - Accent3 14 2" xfId="697"/>
    <cellStyle name="20% - Accent3 14 2 2" xfId="3679"/>
    <cellStyle name="20% - Accent3 14 2 2 2" xfId="9012"/>
    <cellStyle name="20% - Accent3 14 2 3" xfId="2099"/>
    <cellStyle name="20% - Accent3 14 2 3 2" xfId="7433"/>
    <cellStyle name="20% - Accent3 14 2 4" xfId="6034"/>
    <cellStyle name="20% - Accent3 14 3" xfId="3680"/>
    <cellStyle name="20% - Accent3 14 3 2" xfId="9013"/>
    <cellStyle name="20% - Accent3 14 4" xfId="2098"/>
    <cellStyle name="20% - Accent3 14 4 2" xfId="7432"/>
    <cellStyle name="20% - Accent3 14 5" xfId="5558"/>
    <cellStyle name="20% - Accent3 140" xfId="10916"/>
    <cellStyle name="20% - Accent3 141" xfId="10930"/>
    <cellStyle name="20% - Accent3 142" xfId="10944"/>
    <cellStyle name="20% - Accent3 143" xfId="10958"/>
    <cellStyle name="20% - Accent3 144" xfId="10972"/>
    <cellStyle name="20% - Accent3 145" xfId="10986"/>
    <cellStyle name="20% - Accent3 146" xfId="11000"/>
    <cellStyle name="20% - Accent3 147" xfId="11014"/>
    <cellStyle name="20% - Accent3 148" xfId="11028"/>
    <cellStyle name="20% - Accent3 149" xfId="11042"/>
    <cellStyle name="20% - Accent3 15" xfId="234"/>
    <cellStyle name="20% - Accent3 15 2" xfId="711"/>
    <cellStyle name="20% - Accent3 15 2 2" xfId="3681"/>
    <cellStyle name="20% - Accent3 15 2 2 2" xfId="9014"/>
    <cellStyle name="20% - Accent3 15 2 3" xfId="2101"/>
    <cellStyle name="20% - Accent3 15 2 3 2" xfId="7435"/>
    <cellStyle name="20% - Accent3 15 2 4" xfId="6048"/>
    <cellStyle name="20% - Accent3 15 3" xfId="3682"/>
    <cellStyle name="20% - Accent3 15 3 2" xfId="9015"/>
    <cellStyle name="20% - Accent3 15 4" xfId="2100"/>
    <cellStyle name="20% - Accent3 15 4 2" xfId="7434"/>
    <cellStyle name="20% - Accent3 15 5" xfId="5572"/>
    <cellStyle name="20% - Accent3 150" xfId="11056"/>
    <cellStyle name="20% - Accent3 16" xfId="248"/>
    <cellStyle name="20% - Accent3 16 2" xfId="725"/>
    <cellStyle name="20% - Accent3 16 2 2" xfId="3683"/>
    <cellStyle name="20% - Accent3 16 2 2 2" xfId="9016"/>
    <cellStyle name="20% - Accent3 16 2 3" xfId="2103"/>
    <cellStyle name="20% - Accent3 16 2 3 2" xfId="7437"/>
    <cellStyle name="20% - Accent3 16 2 4" xfId="6062"/>
    <cellStyle name="20% - Accent3 16 3" xfId="3684"/>
    <cellStyle name="20% - Accent3 16 3 2" xfId="9017"/>
    <cellStyle name="20% - Accent3 16 4" xfId="2102"/>
    <cellStyle name="20% - Accent3 16 4 2" xfId="7436"/>
    <cellStyle name="20% - Accent3 16 5" xfId="5586"/>
    <cellStyle name="20% - Accent3 17" xfId="262"/>
    <cellStyle name="20% - Accent3 17 2" xfId="739"/>
    <cellStyle name="20% - Accent3 17 2 2" xfId="3685"/>
    <cellStyle name="20% - Accent3 17 2 2 2" xfId="9018"/>
    <cellStyle name="20% - Accent3 17 2 3" xfId="2105"/>
    <cellStyle name="20% - Accent3 17 2 3 2" xfId="7439"/>
    <cellStyle name="20% - Accent3 17 2 4" xfId="6076"/>
    <cellStyle name="20% - Accent3 17 3" xfId="3686"/>
    <cellStyle name="20% - Accent3 17 3 2" xfId="9019"/>
    <cellStyle name="20% - Accent3 17 4" xfId="2104"/>
    <cellStyle name="20% - Accent3 17 4 2" xfId="7438"/>
    <cellStyle name="20% - Accent3 17 5" xfId="5600"/>
    <cellStyle name="20% - Accent3 18" xfId="276"/>
    <cellStyle name="20% - Accent3 18 2" xfId="753"/>
    <cellStyle name="20% - Accent3 18 2 2" xfId="3687"/>
    <cellStyle name="20% - Accent3 18 2 2 2" xfId="9020"/>
    <cellStyle name="20% - Accent3 18 2 3" xfId="2107"/>
    <cellStyle name="20% - Accent3 18 2 3 2" xfId="7441"/>
    <cellStyle name="20% - Accent3 18 2 4" xfId="6090"/>
    <cellStyle name="20% - Accent3 18 3" xfId="3688"/>
    <cellStyle name="20% - Accent3 18 3 2" xfId="9021"/>
    <cellStyle name="20% - Accent3 18 4" xfId="2106"/>
    <cellStyle name="20% - Accent3 18 4 2" xfId="7440"/>
    <cellStyle name="20% - Accent3 18 5" xfId="5614"/>
    <cellStyle name="20% - Accent3 19" xfId="290"/>
    <cellStyle name="20% - Accent3 19 2" xfId="767"/>
    <cellStyle name="20% - Accent3 19 2 2" xfId="3689"/>
    <cellStyle name="20% - Accent3 19 2 2 2" xfId="9022"/>
    <cellStyle name="20% - Accent3 19 2 3" xfId="2109"/>
    <cellStyle name="20% - Accent3 19 2 3 2" xfId="7443"/>
    <cellStyle name="20% - Accent3 19 2 4" xfId="6104"/>
    <cellStyle name="20% - Accent3 19 3" xfId="3690"/>
    <cellStyle name="20% - Accent3 19 3 2" xfId="9023"/>
    <cellStyle name="20% - Accent3 19 4" xfId="2108"/>
    <cellStyle name="20% - Accent3 19 4 2" xfId="7442"/>
    <cellStyle name="20% - Accent3 19 5" xfId="5628"/>
    <cellStyle name="20% - Accent3 2" xfId="52"/>
    <cellStyle name="20% - Accent3 2 2" xfId="529"/>
    <cellStyle name="20% - Accent3 2 2 2" xfId="3691"/>
    <cellStyle name="20% - Accent3 2 2 2 2" xfId="9024"/>
    <cellStyle name="20% - Accent3 2 2 3" xfId="2111"/>
    <cellStyle name="20% - Accent3 2 2 3 2" xfId="7445"/>
    <cellStyle name="20% - Accent3 2 2 4" xfId="5866"/>
    <cellStyle name="20% - Accent3 2 3" xfId="3692"/>
    <cellStyle name="20% - Accent3 2 3 2" xfId="9025"/>
    <cellStyle name="20% - Accent3 2 4" xfId="2110"/>
    <cellStyle name="20% - Accent3 2 4 2" xfId="7444"/>
    <cellStyle name="20% - Accent3 2 5" xfId="5390"/>
    <cellStyle name="20% - Accent3 20" xfId="304"/>
    <cellStyle name="20% - Accent3 20 2" xfId="781"/>
    <cellStyle name="20% - Accent3 20 2 2" xfId="3693"/>
    <cellStyle name="20% - Accent3 20 2 2 2" xfId="9026"/>
    <cellStyle name="20% - Accent3 20 2 3" xfId="2113"/>
    <cellStyle name="20% - Accent3 20 2 3 2" xfId="7447"/>
    <cellStyle name="20% - Accent3 20 2 4" xfId="6118"/>
    <cellStyle name="20% - Accent3 20 3" xfId="3694"/>
    <cellStyle name="20% - Accent3 20 3 2" xfId="9027"/>
    <cellStyle name="20% - Accent3 20 4" xfId="2112"/>
    <cellStyle name="20% - Accent3 20 4 2" xfId="7446"/>
    <cellStyle name="20% - Accent3 20 5" xfId="5642"/>
    <cellStyle name="20% - Accent3 21" xfId="319"/>
    <cellStyle name="20% - Accent3 21 2" xfId="796"/>
    <cellStyle name="20% - Accent3 21 2 2" xfId="3695"/>
    <cellStyle name="20% - Accent3 21 2 2 2" xfId="9028"/>
    <cellStyle name="20% - Accent3 21 2 3" xfId="2115"/>
    <cellStyle name="20% - Accent3 21 2 3 2" xfId="7449"/>
    <cellStyle name="20% - Accent3 21 2 4" xfId="6132"/>
    <cellStyle name="20% - Accent3 21 3" xfId="3696"/>
    <cellStyle name="20% - Accent3 21 3 2" xfId="9029"/>
    <cellStyle name="20% - Accent3 21 4" xfId="2114"/>
    <cellStyle name="20% - Accent3 21 4 2" xfId="7448"/>
    <cellStyle name="20% - Accent3 21 5" xfId="5656"/>
    <cellStyle name="20% - Accent3 22" xfId="333"/>
    <cellStyle name="20% - Accent3 22 2" xfId="810"/>
    <cellStyle name="20% - Accent3 22 2 2" xfId="3697"/>
    <cellStyle name="20% - Accent3 22 2 2 2" xfId="9030"/>
    <cellStyle name="20% - Accent3 22 2 3" xfId="2117"/>
    <cellStyle name="20% - Accent3 22 2 3 2" xfId="7451"/>
    <cellStyle name="20% - Accent3 22 2 4" xfId="6146"/>
    <cellStyle name="20% - Accent3 22 3" xfId="3698"/>
    <cellStyle name="20% - Accent3 22 3 2" xfId="9031"/>
    <cellStyle name="20% - Accent3 22 4" xfId="2116"/>
    <cellStyle name="20% - Accent3 22 4 2" xfId="7450"/>
    <cellStyle name="20% - Accent3 22 5" xfId="5670"/>
    <cellStyle name="20% - Accent3 23" xfId="347"/>
    <cellStyle name="20% - Accent3 23 2" xfId="824"/>
    <cellStyle name="20% - Accent3 23 2 2" xfId="3699"/>
    <cellStyle name="20% - Accent3 23 2 2 2" xfId="9032"/>
    <cellStyle name="20% - Accent3 23 2 3" xfId="2119"/>
    <cellStyle name="20% - Accent3 23 2 3 2" xfId="7453"/>
    <cellStyle name="20% - Accent3 23 2 4" xfId="6160"/>
    <cellStyle name="20% - Accent3 23 3" xfId="3700"/>
    <cellStyle name="20% - Accent3 23 3 2" xfId="9033"/>
    <cellStyle name="20% - Accent3 23 4" xfId="2118"/>
    <cellStyle name="20% - Accent3 23 4 2" xfId="7452"/>
    <cellStyle name="20% - Accent3 23 5" xfId="5684"/>
    <cellStyle name="20% - Accent3 24" xfId="361"/>
    <cellStyle name="20% - Accent3 24 2" xfId="838"/>
    <cellStyle name="20% - Accent3 24 2 2" xfId="3701"/>
    <cellStyle name="20% - Accent3 24 2 2 2" xfId="9034"/>
    <cellStyle name="20% - Accent3 24 2 3" xfId="2121"/>
    <cellStyle name="20% - Accent3 24 2 3 2" xfId="7455"/>
    <cellStyle name="20% - Accent3 24 2 4" xfId="6174"/>
    <cellStyle name="20% - Accent3 24 3" xfId="3702"/>
    <cellStyle name="20% - Accent3 24 3 2" xfId="9035"/>
    <cellStyle name="20% - Accent3 24 4" xfId="2120"/>
    <cellStyle name="20% - Accent3 24 4 2" xfId="7454"/>
    <cellStyle name="20% - Accent3 24 5" xfId="5698"/>
    <cellStyle name="20% - Accent3 25" xfId="375"/>
    <cellStyle name="20% - Accent3 25 2" xfId="852"/>
    <cellStyle name="20% - Accent3 25 2 2" xfId="3703"/>
    <cellStyle name="20% - Accent3 25 2 2 2" xfId="9036"/>
    <cellStyle name="20% - Accent3 25 2 3" xfId="2123"/>
    <cellStyle name="20% - Accent3 25 2 3 2" xfId="7457"/>
    <cellStyle name="20% - Accent3 25 2 4" xfId="6188"/>
    <cellStyle name="20% - Accent3 25 3" xfId="3704"/>
    <cellStyle name="20% - Accent3 25 3 2" xfId="9037"/>
    <cellStyle name="20% - Accent3 25 4" xfId="2122"/>
    <cellStyle name="20% - Accent3 25 4 2" xfId="7456"/>
    <cellStyle name="20% - Accent3 25 5" xfId="5712"/>
    <cellStyle name="20% - Accent3 26" xfId="389"/>
    <cellStyle name="20% - Accent3 26 2" xfId="866"/>
    <cellStyle name="20% - Accent3 26 2 2" xfId="3705"/>
    <cellStyle name="20% - Accent3 26 2 2 2" xfId="9038"/>
    <cellStyle name="20% - Accent3 26 2 3" xfId="2125"/>
    <cellStyle name="20% - Accent3 26 2 3 2" xfId="7459"/>
    <cellStyle name="20% - Accent3 26 2 4" xfId="6202"/>
    <cellStyle name="20% - Accent3 26 3" xfId="3706"/>
    <cellStyle name="20% - Accent3 26 3 2" xfId="9039"/>
    <cellStyle name="20% - Accent3 26 4" xfId="2124"/>
    <cellStyle name="20% - Accent3 26 4 2" xfId="7458"/>
    <cellStyle name="20% - Accent3 26 5" xfId="5726"/>
    <cellStyle name="20% - Accent3 27" xfId="403"/>
    <cellStyle name="20% - Accent3 27 2" xfId="880"/>
    <cellStyle name="20% - Accent3 27 2 2" xfId="3707"/>
    <cellStyle name="20% - Accent3 27 2 2 2" xfId="9040"/>
    <cellStyle name="20% - Accent3 27 2 3" xfId="2127"/>
    <cellStyle name="20% - Accent3 27 2 3 2" xfId="7461"/>
    <cellStyle name="20% - Accent3 27 2 4" xfId="6216"/>
    <cellStyle name="20% - Accent3 27 3" xfId="3708"/>
    <cellStyle name="20% - Accent3 27 3 2" xfId="9041"/>
    <cellStyle name="20% - Accent3 27 4" xfId="2126"/>
    <cellStyle name="20% - Accent3 27 4 2" xfId="7460"/>
    <cellStyle name="20% - Accent3 27 5" xfId="5740"/>
    <cellStyle name="20% - Accent3 28" xfId="417"/>
    <cellStyle name="20% - Accent3 28 2" xfId="894"/>
    <cellStyle name="20% - Accent3 28 2 2" xfId="3709"/>
    <cellStyle name="20% - Accent3 28 2 2 2" xfId="9042"/>
    <cellStyle name="20% - Accent3 28 2 3" xfId="2129"/>
    <cellStyle name="20% - Accent3 28 2 3 2" xfId="7463"/>
    <cellStyle name="20% - Accent3 28 2 4" xfId="6230"/>
    <cellStyle name="20% - Accent3 28 3" xfId="3710"/>
    <cellStyle name="20% - Accent3 28 3 2" xfId="9043"/>
    <cellStyle name="20% - Accent3 28 4" xfId="2128"/>
    <cellStyle name="20% - Accent3 28 4 2" xfId="7462"/>
    <cellStyle name="20% - Accent3 28 5" xfId="5754"/>
    <cellStyle name="20% - Accent3 29" xfId="431"/>
    <cellStyle name="20% - Accent3 29 2" xfId="908"/>
    <cellStyle name="20% - Accent3 29 2 2" xfId="3711"/>
    <cellStyle name="20% - Accent3 29 2 2 2" xfId="9044"/>
    <cellStyle name="20% - Accent3 29 2 3" xfId="2131"/>
    <cellStyle name="20% - Accent3 29 2 3 2" xfId="7465"/>
    <cellStyle name="20% - Accent3 29 2 4" xfId="6244"/>
    <cellStyle name="20% - Accent3 29 3" xfId="3712"/>
    <cellStyle name="20% - Accent3 29 3 2" xfId="9045"/>
    <cellStyle name="20% - Accent3 29 4" xfId="2130"/>
    <cellStyle name="20% - Accent3 29 4 2" xfId="7464"/>
    <cellStyle name="20% - Accent3 29 5" xfId="5768"/>
    <cellStyle name="20% - Accent3 3" xfId="66"/>
    <cellStyle name="20% - Accent3 3 2" xfId="543"/>
    <cellStyle name="20% - Accent3 3 2 2" xfId="3713"/>
    <cellStyle name="20% - Accent3 3 2 2 2" xfId="9046"/>
    <cellStyle name="20% - Accent3 3 2 3" xfId="2133"/>
    <cellStyle name="20% - Accent3 3 2 3 2" xfId="7467"/>
    <cellStyle name="20% - Accent3 3 2 4" xfId="5880"/>
    <cellStyle name="20% - Accent3 3 3" xfId="3714"/>
    <cellStyle name="20% - Accent3 3 3 2" xfId="9047"/>
    <cellStyle name="20% - Accent3 3 4" xfId="2132"/>
    <cellStyle name="20% - Accent3 3 4 2" xfId="7466"/>
    <cellStyle name="20% - Accent3 3 5" xfId="5404"/>
    <cellStyle name="20% - Accent3 30" xfId="445"/>
    <cellStyle name="20% - Accent3 30 2" xfId="922"/>
    <cellStyle name="20% - Accent3 30 2 2" xfId="3715"/>
    <cellStyle name="20% - Accent3 30 2 2 2" xfId="9048"/>
    <cellStyle name="20% - Accent3 30 2 3" xfId="2135"/>
    <cellStyle name="20% - Accent3 30 2 3 2" xfId="7469"/>
    <cellStyle name="20% - Accent3 30 2 4" xfId="6258"/>
    <cellStyle name="20% - Accent3 30 3" xfId="3716"/>
    <cellStyle name="20% - Accent3 30 3 2" xfId="9049"/>
    <cellStyle name="20% - Accent3 30 4" xfId="2134"/>
    <cellStyle name="20% - Accent3 30 4 2" xfId="7468"/>
    <cellStyle name="20% - Accent3 30 5" xfId="5782"/>
    <cellStyle name="20% - Accent3 31" xfId="459"/>
    <cellStyle name="20% - Accent3 31 2" xfId="936"/>
    <cellStyle name="20% - Accent3 31 2 2" xfId="3717"/>
    <cellStyle name="20% - Accent3 31 2 2 2" xfId="9050"/>
    <cellStyle name="20% - Accent3 31 2 3" xfId="2137"/>
    <cellStyle name="20% - Accent3 31 2 3 2" xfId="7471"/>
    <cellStyle name="20% - Accent3 31 2 4" xfId="6272"/>
    <cellStyle name="20% - Accent3 31 3" xfId="3718"/>
    <cellStyle name="20% - Accent3 31 3 2" xfId="9051"/>
    <cellStyle name="20% - Accent3 31 4" xfId="2136"/>
    <cellStyle name="20% - Accent3 31 4 2" xfId="7470"/>
    <cellStyle name="20% - Accent3 31 5" xfId="5796"/>
    <cellStyle name="20% - Accent3 32" xfId="473"/>
    <cellStyle name="20% - Accent3 32 2" xfId="950"/>
    <cellStyle name="20% - Accent3 32 2 2" xfId="3719"/>
    <cellStyle name="20% - Accent3 32 2 2 2" xfId="9052"/>
    <cellStyle name="20% - Accent3 32 2 3" xfId="2139"/>
    <cellStyle name="20% - Accent3 32 2 3 2" xfId="7473"/>
    <cellStyle name="20% - Accent3 32 2 4" xfId="6286"/>
    <cellStyle name="20% - Accent3 32 3" xfId="3720"/>
    <cellStyle name="20% - Accent3 32 3 2" xfId="9053"/>
    <cellStyle name="20% - Accent3 32 4" xfId="2138"/>
    <cellStyle name="20% - Accent3 32 4 2" xfId="7472"/>
    <cellStyle name="20% - Accent3 32 5" xfId="5810"/>
    <cellStyle name="20% - Accent3 33" xfId="487"/>
    <cellStyle name="20% - Accent3 33 2" xfId="964"/>
    <cellStyle name="20% - Accent3 33 2 2" xfId="3721"/>
    <cellStyle name="20% - Accent3 33 2 2 2" xfId="9054"/>
    <cellStyle name="20% - Accent3 33 2 3" xfId="2141"/>
    <cellStyle name="20% - Accent3 33 2 3 2" xfId="7475"/>
    <cellStyle name="20% - Accent3 33 2 4" xfId="6300"/>
    <cellStyle name="20% - Accent3 33 3" xfId="3722"/>
    <cellStyle name="20% - Accent3 33 3 2" xfId="9055"/>
    <cellStyle name="20% - Accent3 33 4" xfId="2140"/>
    <cellStyle name="20% - Accent3 33 4 2" xfId="7474"/>
    <cellStyle name="20% - Accent3 33 5" xfId="5824"/>
    <cellStyle name="20% - Accent3 34" xfId="501"/>
    <cellStyle name="20% - Accent3 34 2" xfId="978"/>
    <cellStyle name="20% - Accent3 34 2 2" xfId="3723"/>
    <cellStyle name="20% - Accent3 34 2 2 2" xfId="9056"/>
    <cellStyle name="20% - Accent3 34 2 3" xfId="2143"/>
    <cellStyle name="20% - Accent3 34 2 3 2" xfId="7477"/>
    <cellStyle name="20% - Accent3 34 2 4" xfId="6314"/>
    <cellStyle name="20% - Accent3 34 3" xfId="3724"/>
    <cellStyle name="20% - Accent3 34 3 2" xfId="9057"/>
    <cellStyle name="20% - Accent3 34 4" xfId="2142"/>
    <cellStyle name="20% - Accent3 34 4 2" xfId="7476"/>
    <cellStyle name="20% - Accent3 34 5" xfId="5838"/>
    <cellStyle name="20% - Accent3 35" xfId="992"/>
    <cellStyle name="20% - Accent3 35 2" xfId="3725"/>
    <cellStyle name="20% - Accent3 35 2 2" xfId="9058"/>
    <cellStyle name="20% - Accent3 35 3" xfId="2144"/>
    <cellStyle name="20% - Accent3 35 3 2" xfId="7478"/>
    <cellStyle name="20% - Accent3 35 4" xfId="6328"/>
    <cellStyle name="20% - Accent3 36" xfId="1006"/>
    <cellStyle name="20% - Accent3 36 2" xfId="3726"/>
    <cellStyle name="20% - Accent3 36 2 2" xfId="9059"/>
    <cellStyle name="20% - Accent3 36 3" xfId="2145"/>
    <cellStyle name="20% - Accent3 36 3 2" xfId="7479"/>
    <cellStyle name="20% - Accent3 36 4" xfId="6342"/>
    <cellStyle name="20% - Accent3 37" xfId="1020"/>
    <cellStyle name="20% - Accent3 37 2" xfId="3727"/>
    <cellStyle name="20% - Accent3 37 2 2" xfId="9060"/>
    <cellStyle name="20% - Accent3 37 3" xfId="2146"/>
    <cellStyle name="20% - Accent3 37 3 2" xfId="7480"/>
    <cellStyle name="20% - Accent3 37 4" xfId="6356"/>
    <cellStyle name="20% - Accent3 38" xfId="511"/>
    <cellStyle name="20% - Accent3 38 2" xfId="3728"/>
    <cellStyle name="20% - Accent3 38 2 2" xfId="9061"/>
    <cellStyle name="20% - Accent3 38 3" xfId="2147"/>
    <cellStyle name="20% - Accent3 38 3 2" xfId="7481"/>
    <cellStyle name="20% - Accent3 38 4" xfId="5848"/>
    <cellStyle name="20% - Accent3 39" xfId="1034"/>
    <cellStyle name="20% - Accent3 39 2" xfId="3729"/>
    <cellStyle name="20% - Accent3 39 2 2" xfId="9062"/>
    <cellStyle name="20% - Accent3 39 3" xfId="3000"/>
    <cellStyle name="20% - Accent3 39 3 2" xfId="8334"/>
    <cellStyle name="20% - Accent3 39 4" xfId="6370"/>
    <cellStyle name="20% - Accent3 4" xfId="80"/>
    <cellStyle name="20% - Accent3 4 2" xfId="557"/>
    <cellStyle name="20% - Accent3 4 2 2" xfId="3730"/>
    <cellStyle name="20% - Accent3 4 2 2 2" xfId="9063"/>
    <cellStyle name="20% - Accent3 4 2 3" xfId="2149"/>
    <cellStyle name="20% - Accent3 4 2 3 2" xfId="7483"/>
    <cellStyle name="20% - Accent3 4 2 4" xfId="5894"/>
    <cellStyle name="20% - Accent3 4 3" xfId="3731"/>
    <cellStyle name="20% - Accent3 4 3 2" xfId="9064"/>
    <cellStyle name="20% - Accent3 4 4" xfId="2148"/>
    <cellStyle name="20% - Accent3 4 4 2" xfId="7482"/>
    <cellStyle name="20% - Accent3 4 5" xfId="5418"/>
    <cellStyle name="20% - Accent3 40" xfId="1048"/>
    <cellStyle name="20% - Accent3 40 2" xfId="3732"/>
    <cellStyle name="20% - Accent3 40 2 2" xfId="9065"/>
    <cellStyle name="20% - Accent3 40 3" xfId="3001"/>
    <cellStyle name="20% - Accent3 40 3 2" xfId="8335"/>
    <cellStyle name="20% - Accent3 40 4" xfId="6384"/>
    <cellStyle name="20% - Accent3 41" xfId="1062"/>
    <cellStyle name="20% - Accent3 41 2" xfId="3733"/>
    <cellStyle name="20% - Accent3 41 2 2" xfId="9066"/>
    <cellStyle name="20% - Accent3 41 3" xfId="3002"/>
    <cellStyle name="20% - Accent3 41 3 2" xfId="8336"/>
    <cellStyle name="20% - Accent3 41 4" xfId="6398"/>
    <cellStyle name="20% - Accent3 42" xfId="1076"/>
    <cellStyle name="20% - Accent3 42 2" xfId="3734"/>
    <cellStyle name="20% - Accent3 42 2 2" xfId="9067"/>
    <cellStyle name="20% - Accent3 42 3" xfId="3003"/>
    <cellStyle name="20% - Accent3 42 3 2" xfId="8337"/>
    <cellStyle name="20% - Accent3 42 4" xfId="6412"/>
    <cellStyle name="20% - Accent3 43" xfId="1090"/>
    <cellStyle name="20% - Accent3 43 2" xfId="3735"/>
    <cellStyle name="20% - Accent3 43 2 2" xfId="9068"/>
    <cellStyle name="20% - Accent3 43 3" xfId="3004"/>
    <cellStyle name="20% - Accent3 43 3 2" xfId="8338"/>
    <cellStyle name="20% - Accent3 43 4" xfId="6426"/>
    <cellStyle name="20% - Accent3 44" xfId="1104"/>
    <cellStyle name="20% - Accent3 44 2" xfId="3736"/>
    <cellStyle name="20% - Accent3 44 2 2" xfId="9069"/>
    <cellStyle name="20% - Accent3 44 3" xfId="3005"/>
    <cellStyle name="20% - Accent3 44 3 2" xfId="8339"/>
    <cellStyle name="20% - Accent3 44 4" xfId="6440"/>
    <cellStyle name="20% - Accent3 45" xfId="1118"/>
    <cellStyle name="20% - Accent3 45 2" xfId="3737"/>
    <cellStyle name="20% - Accent3 45 2 2" xfId="9070"/>
    <cellStyle name="20% - Accent3 45 3" xfId="3006"/>
    <cellStyle name="20% - Accent3 45 3 2" xfId="8340"/>
    <cellStyle name="20% - Accent3 45 4" xfId="6454"/>
    <cellStyle name="20% - Accent3 46" xfId="1132"/>
    <cellStyle name="20% - Accent3 46 2" xfId="3738"/>
    <cellStyle name="20% - Accent3 46 2 2" xfId="9071"/>
    <cellStyle name="20% - Accent3 46 3" xfId="3007"/>
    <cellStyle name="20% - Accent3 46 3 2" xfId="8341"/>
    <cellStyle name="20% - Accent3 46 4" xfId="6468"/>
    <cellStyle name="20% - Accent3 47" xfId="1146"/>
    <cellStyle name="20% - Accent3 47 2" xfId="3739"/>
    <cellStyle name="20% - Accent3 47 2 2" xfId="9072"/>
    <cellStyle name="20% - Accent3 47 3" xfId="3008"/>
    <cellStyle name="20% - Accent3 47 3 2" xfId="8342"/>
    <cellStyle name="20% - Accent3 47 4" xfId="6482"/>
    <cellStyle name="20% - Accent3 48" xfId="1160"/>
    <cellStyle name="20% - Accent3 48 2" xfId="3740"/>
    <cellStyle name="20% - Accent3 48 2 2" xfId="9073"/>
    <cellStyle name="20% - Accent3 48 3" xfId="3009"/>
    <cellStyle name="20% - Accent3 48 3 2" xfId="8343"/>
    <cellStyle name="20% - Accent3 48 4" xfId="6496"/>
    <cellStyle name="20% - Accent3 49" xfId="1174"/>
    <cellStyle name="20% - Accent3 49 2" xfId="3741"/>
    <cellStyle name="20% - Accent3 49 2 2" xfId="9074"/>
    <cellStyle name="20% - Accent3 49 3" xfId="3010"/>
    <cellStyle name="20% - Accent3 49 3 2" xfId="8344"/>
    <cellStyle name="20% - Accent3 49 4" xfId="6510"/>
    <cellStyle name="20% - Accent3 5" xfId="94"/>
    <cellStyle name="20% - Accent3 5 2" xfId="571"/>
    <cellStyle name="20% - Accent3 5 2 2" xfId="3742"/>
    <cellStyle name="20% - Accent3 5 2 2 2" xfId="9075"/>
    <cellStyle name="20% - Accent3 5 2 3" xfId="2151"/>
    <cellStyle name="20% - Accent3 5 2 3 2" xfId="7485"/>
    <cellStyle name="20% - Accent3 5 2 4" xfId="5908"/>
    <cellStyle name="20% - Accent3 5 3" xfId="3743"/>
    <cellStyle name="20% - Accent3 5 3 2" xfId="9076"/>
    <cellStyle name="20% - Accent3 5 4" xfId="2150"/>
    <cellStyle name="20% - Accent3 5 4 2" xfId="7484"/>
    <cellStyle name="20% - Accent3 5 5" xfId="5432"/>
    <cellStyle name="20% - Accent3 50" xfId="1188"/>
    <cellStyle name="20% - Accent3 50 2" xfId="3744"/>
    <cellStyle name="20% - Accent3 50 2 2" xfId="9077"/>
    <cellStyle name="20% - Accent3 50 3" xfId="3011"/>
    <cellStyle name="20% - Accent3 50 3 2" xfId="8345"/>
    <cellStyle name="20% - Accent3 50 4" xfId="6524"/>
    <cellStyle name="20% - Accent3 51" xfId="1202"/>
    <cellStyle name="20% - Accent3 51 2" xfId="3745"/>
    <cellStyle name="20% - Accent3 51 2 2" xfId="9078"/>
    <cellStyle name="20% - Accent3 51 3" xfId="3012"/>
    <cellStyle name="20% - Accent3 51 3 2" xfId="8346"/>
    <cellStyle name="20% - Accent3 51 4" xfId="6538"/>
    <cellStyle name="20% - Accent3 52" xfId="1216"/>
    <cellStyle name="20% - Accent3 52 2" xfId="3746"/>
    <cellStyle name="20% - Accent3 52 2 2" xfId="9079"/>
    <cellStyle name="20% - Accent3 52 3" xfId="3013"/>
    <cellStyle name="20% - Accent3 52 3 2" xfId="8347"/>
    <cellStyle name="20% - Accent3 52 4" xfId="6552"/>
    <cellStyle name="20% - Accent3 53" xfId="1230"/>
    <cellStyle name="20% - Accent3 53 2" xfId="3747"/>
    <cellStyle name="20% - Accent3 53 2 2" xfId="9080"/>
    <cellStyle name="20% - Accent3 53 3" xfId="3014"/>
    <cellStyle name="20% - Accent3 53 3 2" xfId="8348"/>
    <cellStyle name="20% - Accent3 53 4" xfId="6566"/>
    <cellStyle name="20% - Accent3 54" xfId="1244"/>
    <cellStyle name="20% - Accent3 54 2" xfId="3748"/>
    <cellStyle name="20% - Accent3 54 2 2" xfId="9081"/>
    <cellStyle name="20% - Accent3 54 3" xfId="3015"/>
    <cellStyle name="20% - Accent3 54 3 2" xfId="8349"/>
    <cellStyle name="20% - Accent3 54 4" xfId="6580"/>
    <cellStyle name="20% - Accent3 55" xfId="1258"/>
    <cellStyle name="20% - Accent3 55 2" xfId="3749"/>
    <cellStyle name="20% - Accent3 55 2 2" xfId="9082"/>
    <cellStyle name="20% - Accent3 55 3" xfId="3016"/>
    <cellStyle name="20% - Accent3 55 3 2" xfId="8350"/>
    <cellStyle name="20% - Accent3 55 4" xfId="6594"/>
    <cellStyle name="20% - Accent3 56" xfId="1272"/>
    <cellStyle name="20% - Accent3 56 2" xfId="3750"/>
    <cellStyle name="20% - Accent3 56 2 2" xfId="9083"/>
    <cellStyle name="20% - Accent3 56 3" xfId="3017"/>
    <cellStyle name="20% - Accent3 56 3 2" xfId="8351"/>
    <cellStyle name="20% - Accent3 56 4" xfId="6608"/>
    <cellStyle name="20% - Accent3 57" xfId="1286"/>
    <cellStyle name="20% - Accent3 57 2" xfId="3751"/>
    <cellStyle name="20% - Accent3 57 2 2" xfId="9084"/>
    <cellStyle name="20% - Accent3 57 3" xfId="3018"/>
    <cellStyle name="20% - Accent3 57 3 2" xfId="8352"/>
    <cellStyle name="20% - Accent3 57 4" xfId="6622"/>
    <cellStyle name="20% - Accent3 58" xfId="1300"/>
    <cellStyle name="20% - Accent3 58 2" xfId="3752"/>
    <cellStyle name="20% - Accent3 58 2 2" xfId="9085"/>
    <cellStyle name="20% - Accent3 58 3" xfId="3019"/>
    <cellStyle name="20% - Accent3 58 3 2" xfId="8353"/>
    <cellStyle name="20% - Accent3 58 4" xfId="6636"/>
    <cellStyle name="20% - Accent3 59" xfId="1314"/>
    <cellStyle name="20% - Accent3 59 2" xfId="3753"/>
    <cellStyle name="20% - Accent3 59 2 2" xfId="9086"/>
    <cellStyle name="20% - Accent3 59 3" xfId="3020"/>
    <cellStyle name="20% - Accent3 59 3 2" xfId="8354"/>
    <cellStyle name="20% - Accent3 59 4" xfId="6650"/>
    <cellStyle name="20% - Accent3 6" xfId="108"/>
    <cellStyle name="20% - Accent3 6 2" xfId="585"/>
    <cellStyle name="20% - Accent3 6 2 2" xfId="3754"/>
    <cellStyle name="20% - Accent3 6 2 2 2" xfId="9087"/>
    <cellStyle name="20% - Accent3 6 2 3" xfId="2153"/>
    <cellStyle name="20% - Accent3 6 2 3 2" xfId="7487"/>
    <cellStyle name="20% - Accent3 6 2 4" xfId="5922"/>
    <cellStyle name="20% - Accent3 6 3" xfId="3755"/>
    <cellStyle name="20% - Accent3 6 3 2" xfId="9088"/>
    <cellStyle name="20% - Accent3 6 4" xfId="2152"/>
    <cellStyle name="20% - Accent3 6 4 2" xfId="7486"/>
    <cellStyle name="20% - Accent3 6 5" xfId="5446"/>
    <cellStyle name="20% - Accent3 60" xfId="1328"/>
    <cellStyle name="20% - Accent3 60 2" xfId="3756"/>
    <cellStyle name="20% - Accent3 60 2 2" xfId="9089"/>
    <cellStyle name="20% - Accent3 60 3" xfId="3021"/>
    <cellStyle name="20% - Accent3 60 3 2" xfId="8355"/>
    <cellStyle name="20% - Accent3 60 4" xfId="6664"/>
    <cellStyle name="20% - Accent3 61" xfId="1342"/>
    <cellStyle name="20% - Accent3 61 2" xfId="3757"/>
    <cellStyle name="20% - Accent3 61 2 2" xfId="9090"/>
    <cellStyle name="20% - Accent3 61 3" xfId="3022"/>
    <cellStyle name="20% - Accent3 61 3 2" xfId="8356"/>
    <cellStyle name="20% - Accent3 61 4" xfId="6678"/>
    <cellStyle name="20% - Accent3 62" xfId="1356"/>
    <cellStyle name="20% - Accent3 62 2" xfId="3023"/>
    <cellStyle name="20% - Accent3 62 2 2" xfId="8357"/>
    <cellStyle name="20% - Accent3 62 3" xfId="6692"/>
    <cellStyle name="20% - Accent3 63" xfId="1370"/>
    <cellStyle name="20% - Accent3 63 2" xfId="3024"/>
    <cellStyle name="20% - Accent3 63 2 2" xfId="8358"/>
    <cellStyle name="20% - Accent3 63 3" xfId="6706"/>
    <cellStyle name="20% - Accent3 64" xfId="1384"/>
    <cellStyle name="20% - Accent3 64 2" xfId="3025"/>
    <cellStyle name="20% - Accent3 64 2 2" xfId="8359"/>
    <cellStyle name="20% - Accent3 64 3" xfId="6720"/>
    <cellStyle name="20% - Accent3 65" xfId="1398"/>
    <cellStyle name="20% - Accent3 65 2" xfId="3026"/>
    <cellStyle name="20% - Accent3 65 2 2" xfId="8360"/>
    <cellStyle name="20% - Accent3 65 3" xfId="6734"/>
    <cellStyle name="20% - Accent3 66" xfId="1412"/>
    <cellStyle name="20% - Accent3 66 2" xfId="3027"/>
    <cellStyle name="20% - Accent3 66 2 2" xfId="8361"/>
    <cellStyle name="20% - Accent3 66 3" xfId="6748"/>
    <cellStyle name="20% - Accent3 67" xfId="1426"/>
    <cellStyle name="20% - Accent3 67 2" xfId="3028"/>
    <cellStyle name="20% - Accent3 67 2 2" xfId="8362"/>
    <cellStyle name="20% - Accent3 67 3" xfId="6762"/>
    <cellStyle name="20% - Accent3 68" xfId="1440"/>
    <cellStyle name="20% - Accent3 68 2" xfId="3029"/>
    <cellStyle name="20% - Accent3 68 2 2" xfId="8363"/>
    <cellStyle name="20% - Accent3 68 3" xfId="6776"/>
    <cellStyle name="20% - Accent3 69" xfId="1454"/>
    <cellStyle name="20% - Accent3 69 2" xfId="3030"/>
    <cellStyle name="20% - Accent3 69 2 2" xfId="8364"/>
    <cellStyle name="20% - Accent3 69 3" xfId="6790"/>
    <cellStyle name="20% - Accent3 7" xfId="122"/>
    <cellStyle name="20% - Accent3 7 2" xfId="599"/>
    <cellStyle name="20% - Accent3 7 2 2" xfId="3758"/>
    <cellStyle name="20% - Accent3 7 2 2 2" xfId="9091"/>
    <cellStyle name="20% - Accent3 7 2 3" xfId="2155"/>
    <cellStyle name="20% - Accent3 7 2 3 2" xfId="7489"/>
    <cellStyle name="20% - Accent3 7 2 4" xfId="5936"/>
    <cellStyle name="20% - Accent3 7 3" xfId="3759"/>
    <cellStyle name="20% - Accent3 7 3 2" xfId="9092"/>
    <cellStyle name="20% - Accent3 7 4" xfId="2154"/>
    <cellStyle name="20% - Accent3 7 4 2" xfId="7488"/>
    <cellStyle name="20% - Accent3 7 5" xfId="5460"/>
    <cellStyle name="20% - Accent3 70" xfId="1468"/>
    <cellStyle name="20% - Accent3 70 2" xfId="3031"/>
    <cellStyle name="20% - Accent3 70 2 2" xfId="8365"/>
    <cellStyle name="20% - Accent3 70 3" xfId="6804"/>
    <cellStyle name="20% - Accent3 71" xfId="1482"/>
    <cellStyle name="20% - Accent3 71 2" xfId="3032"/>
    <cellStyle name="20% - Accent3 71 2 2" xfId="8366"/>
    <cellStyle name="20% - Accent3 71 3" xfId="6818"/>
    <cellStyle name="20% - Accent3 72" xfId="1496"/>
    <cellStyle name="20% - Accent3 72 2" xfId="3033"/>
    <cellStyle name="20% - Accent3 72 2 2" xfId="8367"/>
    <cellStyle name="20% - Accent3 72 3" xfId="6832"/>
    <cellStyle name="20% - Accent3 73" xfId="1510"/>
    <cellStyle name="20% - Accent3 73 2" xfId="3034"/>
    <cellStyle name="20% - Accent3 73 2 2" xfId="8368"/>
    <cellStyle name="20% - Accent3 73 3" xfId="6846"/>
    <cellStyle name="20% - Accent3 74" xfId="1524"/>
    <cellStyle name="20% - Accent3 74 2" xfId="3035"/>
    <cellStyle name="20% - Accent3 74 2 2" xfId="8369"/>
    <cellStyle name="20% - Accent3 74 3" xfId="6860"/>
    <cellStyle name="20% - Accent3 75" xfId="1538"/>
    <cellStyle name="20% - Accent3 75 2" xfId="3036"/>
    <cellStyle name="20% - Accent3 75 2 2" xfId="8370"/>
    <cellStyle name="20% - Accent3 75 3" xfId="6874"/>
    <cellStyle name="20% - Accent3 76" xfId="1552"/>
    <cellStyle name="20% - Accent3 76 2" xfId="3440"/>
    <cellStyle name="20% - Accent3 76 2 2" xfId="8774"/>
    <cellStyle name="20% - Accent3 76 3" xfId="6888"/>
    <cellStyle name="20% - Accent3 77" xfId="1566"/>
    <cellStyle name="20% - Accent3 77 2" xfId="3441"/>
    <cellStyle name="20% - Accent3 77 2 2" xfId="8775"/>
    <cellStyle name="20% - Accent3 77 3" xfId="6902"/>
    <cellStyle name="20% - Accent3 78" xfId="1580"/>
    <cellStyle name="20% - Accent3 78 2" xfId="3442"/>
    <cellStyle name="20% - Accent3 78 2 2" xfId="8776"/>
    <cellStyle name="20% - Accent3 78 3" xfId="6916"/>
    <cellStyle name="20% - Accent3 79" xfId="1594"/>
    <cellStyle name="20% - Accent3 79 2" xfId="3443"/>
    <cellStyle name="20% - Accent3 79 2 2" xfId="8777"/>
    <cellStyle name="20% - Accent3 79 3" xfId="6930"/>
    <cellStyle name="20% - Accent3 8" xfId="136"/>
    <cellStyle name="20% - Accent3 8 2" xfId="613"/>
    <cellStyle name="20% - Accent3 8 2 2" xfId="3760"/>
    <cellStyle name="20% - Accent3 8 2 2 2" xfId="9093"/>
    <cellStyle name="20% - Accent3 8 2 3" xfId="2157"/>
    <cellStyle name="20% - Accent3 8 2 3 2" xfId="7491"/>
    <cellStyle name="20% - Accent3 8 2 4" xfId="5950"/>
    <cellStyle name="20% - Accent3 8 3" xfId="3761"/>
    <cellStyle name="20% - Accent3 8 3 2" xfId="9094"/>
    <cellStyle name="20% - Accent3 8 4" xfId="2156"/>
    <cellStyle name="20% - Accent3 8 4 2" xfId="7490"/>
    <cellStyle name="20% - Accent3 8 5" xfId="5474"/>
    <cellStyle name="20% - Accent3 80" xfId="1608"/>
    <cellStyle name="20% - Accent3 80 2" xfId="4804"/>
    <cellStyle name="20% - Accent3 80 2 2" xfId="10137"/>
    <cellStyle name="20% - Accent3 80 3" xfId="6944"/>
    <cellStyle name="20% - Accent3 81" xfId="1622"/>
    <cellStyle name="20% - Accent3 81 2" xfId="4805"/>
    <cellStyle name="20% - Accent3 81 2 2" xfId="10138"/>
    <cellStyle name="20% - Accent3 81 3" xfId="6958"/>
    <cellStyle name="20% - Accent3 82" xfId="1636"/>
    <cellStyle name="20% - Accent3 82 2" xfId="4806"/>
    <cellStyle name="20% - Accent3 82 2 2" xfId="10139"/>
    <cellStyle name="20% - Accent3 82 3" xfId="6972"/>
    <cellStyle name="20% - Accent3 83" xfId="1650"/>
    <cellStyle name="20% - Accent3 83 2" xfId="4807"/>
    <cellStyle name="20% - Accent3 83 2 2" xfId="10140"/>
    <cellStyle name="20% - Accent3 83 3" xfId="6986"/>
    <cellStyle name="20% - Accent3 84" xfId="1664"/>
    <cellStyle name="20% - Accent3 84 2" xfId="4808"/>
    <cellStyle name="20% - Accent3 84 2 2" xfId="10141"/>
    <cellStyle name="20% - Accent3 84 3" xfId="7000"/>
    <cellStyle name="20% - Accent3 85" xfId="1678"/>
    <cellStyle name="20% - Accent3 85 2" xfId="4868"/>
    <cellStyle name="20% - Accent3 85 2 2" xfId="10201"/>
    <cellStyle name="20% - Accent3 85 3" xfId="7014"/>
    <cellStyle name="20% - Accent3 86" xfId="1692"/>
    <cellStyle name="20% - Accent3 86 2" xfId="4869"/>
    <cellStyle name="20% - Accent3 86 2 2" xfId="10202"/>
    <cellStyle name="20% - Accent3 86 3" xfId="7028"/>
    <cellStyle name="20% - Accent3 87" xfId="1706"/>
    <cellStyle name="20% - Accent3 87 2" xfId="4870"/>
    <cellStyle name="20% - Accent3 87 2 2" xfId="10203"/>
    <cellStyle name="20% - Accent3 87 3" xfId="7042"/>
    <cellStyle name="20% - Accent3 88" xfId="1720"/>
    <cellStyle name="20% - Accent3 88 2" xfId="4918"/>
    <cellStyle name="20% - Accent3 88 2 2" xfId="10251"/>
    <cellStyle name="20% - Accent3 88 3" xfId="7056"/>
    <cellStyle name="20% - Accent3 89" xfId="1734"/>
    <cellStyle name="20% - Accent3 89 2" xfId="4919"/>
    <cellStyle name="20% - Accent3 89 2 2" xfId="10252"/>
    <cellStyle name="20% - Accent3 89 3" xfId="7070"/>
    <cellStyle name="20% - Accent3 9" xfId="150"/>
    <cellStyle name="20% - Accent3 9 2" xfId="627"/>
    <cellStyle name="20% - Accent3 9 2 2" xfId="3762"/>
    <cellStyle name="20% - Accent3 9 2 2 2" xfId="9095"/>
    <cellStyle name="20% - Accent3 9 2 3" xfId="2159"/>
    <cellStyle name="20% - Accent3 9 2 3 2" xfId="7493"/>
    <cellStyle name="20% - Accent3 9 2 4" xfId="5964"/>
    <cellStyle name="20% - Accent3 9 3" xfId="3763"/>
    <cellStyle name="20% - Accent3 9 3 2" xfId="9096"/>
    <cellStyle name="20% - Accent3 9 4" xfId="2158"/>
    <cellStyle name="20% - Accent3 9 4 2" xfId="7492"/>
    <cellStyle name="20% - Accent3 9 5" xfId="5488"/>
    <cellStyle name="20% - Accent3 90" xfId="1748"/>
    <cellStyle name="20% - Accent3 90 2" xfId="4920"/>
    <cellStyle name="20% - Accent3 90 2 2" xfId="10253"/>
    <cellStyle name="20% - Accent3 90 3" xfId="7084"/>
    <cellStyle name="20% - Accent3 91" xfId="1762"/>
    <cellStyle name="20% - Accent3 91 2" xfId="4921"/>
    <cellStyle name="20% - Accent3 91 2 2" xfId="10254"/>
    <cellStyle name="20% - Accent3 91 3" xfId="7098"/>
    <cellStyle name="20% - Accent3 92" xfId="1776"/>
    <cellStyle name="20% - Accent3 92 2" xfId="4922"/>
    <cellStyle name="20% - Accent3 92 2 2" xfId="10255"/>
    <cellStyle name="20% - Accent3 92 3" xfId="7112"/>
    <cellStyle name="20% - Accent3 93" xfId="1790"/>
    <cellStyle name="20% - Accent3 93 2" xfId="4923"/>
    <cellStyle name="20% - Accent3 93 2 2" xfId="10256"/>
    <cellStyle name="20% - Accent3 93 3" xfId="7126"/>
    <cellStyle name="20% - Accent3 94" xfId="1804"/>
    <cellStyle name="20% - Accent3 94 2" xfId="4993"/>
    <cellStyle name="20% - Accent3 94 2 2" xfId="10324"/>
    <cellStyle name="20% - Accent3 94 3" xfId="7140"/>
    <cellStyle name="20% - Accent3 95" xfId="1818"/>
    <cellStyle name="20% - Accent3 95 2" xfId="4994"/>
    <cellStyle name="20% - Accent3 95 2 2" xfId="10325"/>
    <cellStyle name="20% - Accent3 95 3" xfId="7154"/>
    <cellStyle name="20% - Accent3 96" xfId="1832"/>
    <cellStyle name="20% - Accent3 96 2" xfId="5026"/>
    <cellStyle name="20% - Accent3 96 2 2" xfId="10357"/>
    <cellStyle name="20% - Accent3 96 3" xfId="7168"/>
    <cellStyle name="20% - Accent3 97" xfId="1846"/>
    <cellStyle name="20% - Accent3 97 2" xfId="5027"/>
    <cellStyle name="20% - Accent3 97 2 2" xfId="10358"/>
    <cellStyle name="20% - Accent3 97 3" xfId="7182"/>
    <cellStyle name="20% - Accent3 98" xfId="1860"/>
    <cellStyle name="20% - Accent3 98 2" xfId="5028"/>
    <cellStyle name="20% - Accent3 98 2 2" xfId="10359"/>
    <cellStyle name="20% - Accent3 98 3" xfId="7196"/>
    <cellStyle name="20% - Accent3 99" xfId="1874"/>
    <cellStyle name="20% - Accent3 99 2" xfId="5029"/>
    <cellStyle name="20% - Accent3 99 2 2" xfId="10360"/>
    <cellStyle name="20% - Accent3 99 3" xfId="7210"/>
    <cellStyle name="20% - Accent4" xfId="4" builtinId="42" customBuiltin="1"/>
    <cellStyle name="20% - Accent4 10" xfId="166"/>
    <cellStyle name="20% - Accent4 10 2" xfId="643"/>
    <cellStyle name="20% - Accent4 10 2 2" xfId="3764"/>
    <cellStyle name="20% - Accent4 10 2 2 2" xfId="9097"/>
    <cellStyle name="20% - Accent4 10 2 3" xfId="2161"/>
    <cellStyle name="20% - Accent4 10 2 3 2" xfId="7495"/>
    <cellStyle name="20% - Accent4 10 2 4" xfId="5980"/>
    <cellStyle name="20% - Accent4 10 3" xfId="3765"/>
    <cellStyle name="20% - Accent4 10 3 2" xfId="9098"/>
    <cellStyle name="20% - Accent4 10 4" xfId="2160"/>
    <cellStyle name="20% - Accent4 10 4 2" xfId="7494"/>
    <cellStyle name="20% - Accent4 10 5" xfId="5504"/>
    <cellStyle name="20% - Accent4 100" xfId="1890"/>
    <cellStyle name="20% - Accent4 100 2" xfId="7226"/>
    <cellStyle name="20% - Accent4 101" xfId="1904"/>
    <cellStyle name="20% - Accent4 101 2" xfId="7240"/>
    <cellStyle name="20% - Accent4 102" xfId="1918"/>
    <cellStyle name="20% - Accent4 102 2" xfId="7254"/>
    <cellStyle name="20% - Accent4 103" xfId="5079"/>
    <cellStyle name="20% - Accent4 103 2" xfId="10410"/>
    <cellStyle name="20% - Accent4 104" xfId="5093"/>
    <cellStyle name="20% - Accent4 104 2" xfId="10424"/>
    <cellStyle name="20% - Accent4 105" xfId="5107"/>
    <cellStyle name="20% - Accent4 105 2" xfId="10438"/>
    <cellStyle name="20% - Accent4 106" xfId="5121"/>
    <cellStyle name="20% - Accent4 106 2" xfId="10452"/>
    <cellStyle name="20% - Accent4 107" xfId="5135"/>
    <cellStyle name="20% - Accent4 107 2" xfId="10466"/>
    <cellStyle name="20% - Accent4 108" xfId="5149"/>
    <cellStyle name="20% - Accent4 108 2" xfId="10480"/>
    <cellStyle name="20% - Accent4 109" xfId="5163"/>
    <cellStyle name="20% - Accent4 109 2" xfId="10494"/>
    <cellStyle name="20% - Accent4 11" xfId="180"/>
    <cellStyle name="20% - Accent4 11 2" xfId="657"/>
    <cellStyle name="20% - Accent4 11 2 2" xfId="3766"/>
    <cellStyle name="20% - Accent4 11 2 2 2" xfId="9099"/>
    <cellStyle name="20% - Accent4 11 2 3" xfId="2163"/>
    <cellStyle name="20% - Accent4 11 2 3 2" xfId="7497"/>
    <cellStyle name="20% - Accent4 11 2 4" xfId="5994"/>
    <cellStyle name="20% - Accent4 11 3" xfId="3767"/>
    <cellStyle name="20% - Accent4 11 3 2" xfId="9100"/>
    <cellStyle name="20% - Accent4 11 4" xfId="2162"/>
    <cellStyle name="20% - Accent4 11 4 2" xfId="7496"/>
    <cellStyle name="20% - Accent4 11 5" xfId="5518"/>
    <cellStyle name="20% - Accent4 110" xfId="5177"/>
    <cellStyle name="20% - Accent4 110 2" xfId="10508"/>
    <cellStyle name="20% - Accent4 111" xfId="5191"/>
    <cellStyle name="20% - Accent4 111 2" xfId="10522"/>
    <cellStyle name="20% - Accent4 112" xfId="5205"/>
    <cellStyle name="20% - Accent4 112 2" xfId="10536"/>
    <cellStyle name="20% - Accent4 113" xfId="5219"/>
    <cellStyle name="20% - Accent4 113 2" xfId="10550"/>
    <cellStyle name="20% - Accent4 114" xfId="5233"/>
    <cellStyle name="20% - Accent4 114 2" xfId="10564"/>
    <cellStyle name="20% - Accent4 115" xfId="5247"/>
    <cellStyle name="20% - Accent4 115 2" xfId="10578"/>
    <cellStyle name="20% - Accent4 116" xfId="5261"/>
    <cellStyle name="20% - Accent4 116 2" xfId="10592"/>
    <cellStyle name="20% - Accent4 117" xfId="5275"/>
    <cellStyle name="20% - Accent4 117 2" xfId="10606"/>
    <cellStyle name="20% - Accent4 118" xfId="5289"/>
    <cellStyle name="20% - Accent4 118 2" xfId="10620"/>
    <cellStyle name="20% - Accent4 119" xfId="5303"/>
    <cellStyle name="20% - Accent4 119 2" xfId="10634"/>
    <cellStyle name="20% - Accent4 12" xfId="194"/>
    <cellStyle name="20% - Accent4 12 2" xfId="671"/>
    <cellStyle name="20% - Accent4 12 2 2" xfId="3768"/>
    <cellStyle name="20% - Accent4 12 2 2 2" xfId="9101"/>
    <cellStyle name="20% - Accent4 12 2 3" xfId="2165"/>
    <cellStyle name="20% - Accent4 12 2 3 2" xfId="7499"/>
    <cellStyle name="20% - Accent4 12 2 4" xfId="6008"/>
    <cellStyle name="20% - Accent4 12 3" xfId="3769"/>
    <cellStyle name="20% - Accent4 12 3 2" xfId="9102"/>
    <cellStyle name="20% - Accent4 12 4" xfId="2164"/>
    <cellStyle name="20% - Accent4 12 4 2" xfId="7498"/>
    <cellStyle name="20% - Accent4 12 5" xfId="5532"/>
    <cellStyle name="20% - Accent4 120" xfId="5317"/>
    <cellStyle name="20% - Accent4 120 2" xfId="10648"/>
    <cellStyle name="20% - Accent4 121" xfId="5331"/>
    <cellStyle name="20% - Accent4 121 2" xfId="10662"/>
    <cellStyle name="20% - Accent4 122" xfId="5345"/>
    <cellStyle name="20% - Accent4 122 2" xfId="10676"/>
    <cellStyle name="20% - Accent4 123" xfId="5364"/>
    <cellStyle name="20% - Accent4 123 2" xfId="10693"/>
    <cellStyle name="20% - Accent4 124" xfId="10707"/>
    <cellStyle name="20% - Accent4 125" xfId="5373"/>
    <cellStyle name="20% - Accent4 126" xfId="10721"/>
    <cellStyle name="20% - Accent4 127" xfId="10735"/>
    <cellStyle name="20% - Accent4 128" xfId="10749"/>
    <cellStyle name="20% - Accent4 129" xfId="10763"/>
    <cellStyle name="20% - Accent4 13" xfId="208"/>
    <cellStyle name="20% - Accent4 13 2" xfId="685"/>
    <cellStyle name="20% - Accent4 13 2 2" xfId="3770"/>
    <cellStyle name="20% - Accent4 13 2 2 2" xfId="9103"/>
    <cellStyle name="20% - Accent4 13 2 3" xfId="2167"/>
    <cellStyle name="20% - Accent4 13 2 3 2" xfId="7501"/>
    <cellStyle name="20% - Accent4 13 2 4" xfId="6022"/>
    <cellStyle name="20% - Accent4 13 3" xfId="3771"/>
    <cellStyle name="20% - Accent4 13 3 2" xfId="9104"/>
    <cellStyle name="20% - Accent4 13 4" xfId="2166"/>
    <cellStyle name="20% - Accent4 13 4 2" xfId="7500"/>
    <cellStyle name="20% - Accent4 13 5" xfId="5546"/>
    <cellStyle name="20% - Accent4 130" xfId="10777"/>
    <cellStyle name="20% - Accent4 131" xfId="10792"/>
    <cellStyle name="20% - Accent4 132" xfId="10806"/>
    <cellStyle name="20% - Accent4 133" xfId="10820"/>
    <cellStyle name="20% - Accent4 134" xfId="10834"/>
    <cellStyle name="20% - Accent4 135" xfId="10848"/>
    <cellStyle name="20% - Accent4 136" xfId="10862"/>
    <cellStyle name="20% - Accent4 137" xfId="10876"/>
    <cellStyle name="20% - Accent4 138" xfId="10890"/>
    <cellStyle name="20% - Accent4 139" xfId="10904"/>
    <cellStyle name="20% - Accent4 14" xfId="222"/>
    <cellStyle name="20% - Accent4 14 2" xfId="699"/>
    <cellStyle name="20% - Accent4 14 2 2" xfId="3772"/>
    <cellStyle name="20% - Accent4 14 2 2 2" xfId="9105"/>
    <cellStyle name="20% - Accent4 14 2 3" xfId="2169"/>
    <cellStyle name="20% - Accent4 14 2 3 2" xfId="7503"/>
    <cellStyle name="20% - Accent4 14 2 4" xfId="6036"/>
    <cellStyle name="20% - Accent4 14 3" xfId="3773"/>
    <cellStyle name="20% - Accent4 14 3 2" xfId="9106"/>
    <cellStyle name="20% - Accent4 14 4" xfId="2168"/>
    <cellStyle name="20% - Accent4 14 4 2" xfId="7502"/>
    <cellStyle name="20% - Accent4 14 5" xfId="5560"/>
    <cellStyle name="20% - Accent4 140" xfId="10918"/>
    <cellStyle name="20% - Accent4 141" xfId="10932"/>
    <cellStyle name="20% - Accent4 142" xfId="10946"/>
    <cellStyle name="20% - Accent4 143" xfId="10960"/>
    <cellStyle name="20% - Accent4 144" xfId="10974"/>
    <cellStyle name="20% - Accent4 145" xfId="10988"/>
    <cellStyle name="20% - Accent4 146" xfId="11002"/>
    <cellStyle name="20% - Accent4 147" xfId="11016"/>
    <cellStyle name="20% - Accent4 148" xfId="11030"/>
    <cellStyle name="20% - Accent4 149" xfId="11044"/>
    <cellStyle name="20% - Accent4 15" xfId="236"/>
    <cellStyle name="20% - Accent4 15 2" xfId="713"/>
    <cellStyle name="20% - Accent4 15 2 2" xfId="3774"/>
    <cellStyle name="20% - Accent4 15 2 2 2" xfId="9107"/>
    <cellStyle name="20% - Accent4 15 2 3" xfId="2171"/>
    <cellStyle name="20% - Accent4 15 2 3 2" xfId="7505"/>
    <cellStyle name="20% - Accent4 15 2 4" xfId="6050"/>
    <cellStyle name="20% - Accent4 15 3" xfId="3775"/>
    <cellStyle name="20% - Accent4 15 3 2" xfId="9108"/>
    <cellStyle name="20% - Accent4 15 4" xfId="2170"/>
    <cellStyle name="20% - Accent4 15 4 2" xfId="7504"/>
    <cellStyle name="20% - Accent4 15 5" xfId="5574"/>
    <cellStyle name="20% - Accent4 150" xfId="11058"/>
    <cellStyle name="20% - Accent4 16" xfId="250"/>
    <cellStyle name="20% - Accent4 16 2" xfId="727"/>
    <cellStyle name="20% - Accent4 16 2 2" xfId="3776"/>
    <cellStyle name="20% - Accent4 16 2 2 2" xfId="9109"/>
    <cellStyle name="20% - Accent4 16 2 3" xfId="2173"/>
    <cellStyle name="20% - Accent4 16 2 3 2" xfId="7507"/>
    <cellStyle name="20% - Accent4 16 2 4" xfId="6064"/>
    <cellStyle name="20% - Accent4 16 3" xfId="3777"/>
    <cellStyle name="20% - Accent4 16 3 2" xfId="9110"/>
    <cellStyle name="20% - Accent4 16 4" xfId="2172"/>
    <cellStyle name="20% - Accent4 16 4 2" xfId="7506"/>
    <cellStyle name="20% - Accent4 16 5" xfId="5588"/>
    <cellStyle name="20% - Accent4 17" xfId="264"/>
    <cellStyle name="20% - Accent4 17 2" xfId="741"/>
    <cellStyle name="20% - Accent4 17 2 2" xfId="3778"/>
    <cellStyle name="20% - Accent4 17 2 2 2" xfId="9111"/>
    <cellStyle name="20% - Accent4 17 2 3" xfId="2175"/>
    <cellStyle name="20% - Accent4 17 2 3 2" xfId="7509"/>
    <cellStyle name="20% - Accent4 17 2 4" xfId="6078"/>
    <cellStyle name="20% - Accent4 17 3" xfId="3779"/>
    <cellStyle name="20% - Accent4 17 3 2" xfId="9112"/>
    <cellStyle name="20% - Accent4 17 4" xfId="2174"/>
    <cellStyle name="20% - Accent4 17 4 2" xfId="7508"/>
    <cellStyle name="20% - Accent4 17 5" xfId="5602"/>
    <cellStyle name="20% - Accent4 18" xfId="278"/>
    <cellStyle name="20% - Accent4 18 2" xfId="755"/>
    <cellStyle name="20% - Accent4 18 2 2" xfId="3780"/>
    <cellStyle name="20% - Accent4 18 2 2 2" xfId="9113"/>
    <cellStyle name="20% - Accent4 18 2 3" xfId="2177"/>
    <cellStyle name="20% - Accent4 18 2 3 2" xfId="7511"/>
    <cellStyle name="20% - Accent4 18 2 4" xfId="6092"/>
    <cellStyle name="20% - Accent4 18 3" xfId="3781"/>
    <cellStyle name="20% - Accent4 18 3 2" xfId="9114"/>
    <cellStyle name="20% - Accent4 18 4" xfId="2176"/>
    <cellStyle name="20% - Accent4 18 4 2" xfId="7510"/>
    <cellStyle name="20% - Accent4 18 5" xfId="5616"/>
    <cellStyle name="20% - Accent4 19" xfId="292"/>
    <cellStyle name="20% - Accent4 19 2" xfId="769"/>
    <cellStyle name="20% - Accent4 19 2 2" xfId="3782"/>
    <cellStyle name="20% - Accent4 19 2 2 2" xfId="9115"/>
    <cellStyle name="20% - Accent4 19 2 3" xfId="2179"/>
    <cellStyle name="20% - Accent4 19 2 3 2" xfId="7513"/>
    <cellStyle name="20% - Accent4 19 2 4" xfId="6106"/>
    <cellStyle name="20% - Accent4 19 3" xfId="3783"/>
    <cellStyle name="20% - Accent4 19 3 2" xfId="9116"/>
    <cellStyle name="20% - Accent4 19 4" xfId="2178"/>
    <cellStyle name="20% - Accent4 19 4 2" xfId="7512"/>
    <cellStyle name="20% - Accent4 19 5" xfId="5630"/>
    <cellStyle name="20% - Accent4 2" xfId="54"/>
    <cellStyle name="20% - Accent4 2 2" xfId="531"/>
    <cellStyle name="20% - Accent4 2 2 2" xfId="3784"/>
    <cellStyle name="20% - Accent4 2 2 2 2" xfId="9117"/>
    <cellStyle name="20% - Accent4 2 2 3" xfId="2181"/>
    <cellStyle name="20% - Accent4 2 2 3 2" xfId="7515"/>
    <cellStyle name="20% - Accent4 2 2 4" xfId="5868"/>
    <cellStyle name="20% - Accent4 2 3" xfId="3785"/>
    <cellStyle name="20% - Accent4 2 3 2" xfId="9118"/>
    <cellStyle name="20% - Accent4 2 4" xfId="2180"/>
    <cellStyle name="20% - Accent4 2 4 2" xfId="7514"/>
    <cellStyle name="20% - Accent4 2 5" xfId="5392"/>
    <cellStyle name="20% - Accent4 20" xfId="306"/>
    <cellStyle name="20% - Accent4 20 2" xfId="783"/>
    <cellStyle name="20% - Accent4 20 2 2" xfId="3786"/>
    <cellStyle name="20% - Accent4 20 2 2 2" xfId="9119"/>
    <cellStyle name="20% - Accent4 20 2 3" xfId="2183"/>
    <cellStyle name="20% - Accent4 20 2 3 2" xfId="7517"/>
    <cellStyle name="20% - Accent4 20 2 4" xfId="6120"/>
    <cellStyle name="20% - Accent4 20 3" xfId="3787"/>
    <cellStyle name="20% - Accent4 20 3 2" xfId="9120"/>
    <cellStyle name="20% - Accent4 20 4" xfId="2182"/>
    <cellStyle name="20% - Accent4 20 4 2" xfId="7516"/>
    <cellStyle name="20% - Accent4 20 5" xfId="5644"/>
    <cellStyle name="20% - Accent4 21" xfId="321"/>
    <cellStyle name="20% - Accent4 21 2" xfId="798"/>
    <cellStyle name="20% - Accent4 21 2 2" xfId="3788"/>
    <cellStyle name="20% - Accent4 21 2 2 2" xfId="9121"/>
    <cellStyle name="20% - Accent4 21 2 3" xfId="2185"/>
    <cellStyle name="20% - Accent4 21 2 3 2" xfId="7519"/>
    <cellStyle name="20% - Accent4 21 2 4" xfId="6134"/>
    <cellStyle name="20% - Accent4 21 3" xfId="3789"/>
    <cellStyle name="20% - Accent4 21 3 2" xfId="9122"/>
    <cellStyle name="20% - Accent4 21 4" xfId="2184"/>
    <cellStyle name="20% - Accent4 21 4 2" xfId="7518"/>
    <cellStyle name="20% - Accent4 21 5" xfId="5658"/>
    <cellStyle name="20% - Accent4 22" xfId="335"/>
    <cellStyle name="20% - Accent4 22 2" xfId="812"/>
    <cellStyle name="20% - Accent4 22 2 2" xfId="3790"/>
    <cellStyle name="20% - Accent4 22 2 2 2" xfId="9123"/>
    <cellStyle name="20% - Accent4 22 2 3" xfId="2187"/>
    <cellStyle name="20% - Accent4 22 2 3 2" xfId="7521"/>
    <cellStyle name="20% - Accent4 22 2 4" xfId="6148"/>
    <cellStyle name="20% - Accent4 22 3" xfId="3791"/>
    <cellStyle name="20% - Accent4 22 3 2" xfId="9124"/>
    <cellStyle name="20% - Accent4 22 4" xfId="2186"/>
    <cellStyle name="20% - Accent4 22 4 2" xfId="7520"/>
    <cellStyle name="20% - Accent4 22 5" xfId="5672"/>
    <cellStyle name="20% - Accent4 23" xfId="349"/>
    <cellStyle name="20% - Accent4 23 2" xfId="826"/>
    <cellStyle name="20% - Accent4 23 2 2" xfId="3792"/>
    <cellStyle name="20% - Accent4 23 2 2 2" xfId="9125"/>
    <cellStyle name="20% - Accent4 23 2 3" xfId="2189"/>
    <cellStyle name="20% - Accent4 23 2 3 2" xfId="7523"/>
    <cellStyle name="20% - Accent4 23 2 4" xfId="6162"/>
    <cellStyle name="20% - Accent4 23 3" xfId="3793"/>
    <cellStyle name="20% - Accent4 23 3 2" xfId="9126"/>
    <cellStyle name="20% - Accent4 23 4" xfId="2188"/>
    <cellStyle name="20% - Accent4 23 4 2" xfId="7522"/>
    <cellStyle name="20% - Accent4 23 5" xfId="5686"/>
    <cellStyle name="20% - Accent4 24" xfId="363"/>
    <cellStyle name="20% - Accent4 24 2" xfId="840"/>
    <cellStyle name="20% - Accent4 24 2 2" xfId="3794"/>
    <cellStyle name="20% - Accent4 24 2 2 2" xfId="9127"/>
    <cellStyle name="20% - Accent4 24 2 3" xfId="2191"/>
    <cellStyle name="20% - Accent4 24 2 3 2" xfId="7525"/>
    <cellStyle name="20% - Accent4 24 2 4" xfId="6176"/>
    <cellStyle name="20% - Accent4 24 3" xfId="3795"/>
    <cellStyle name="20% - Accent4 24 3 2" xfId="9128"/>
    <cellStyle name="20% - Accent4 24 4" xfId="2190"/>
    <cellStyle name="20% - Accent4 24 4 2" xfId="7524"/>
    <cellStyle name="20% - Accent4 24 5" xfId="5700"/>
    <cellStyle name="20% - Accent4 25" xfId="377"/>
    <cellStyle name="20% - Accent4 25 2" xfId="854"/>
    <cellStyle name="20% - Accent4 25 2 2" xfId="3796"/>
    <cellStyle name="20% - Accent4 25 2 2 2" xfId="9129"/>
    <cellStyle name="20% - Accent4 25 2 3" xfId="2193"/>
    <cellStyle name="20% - Accent4 25 2 3 2" xfId="7527"/>
    <cellStyle name="20% - Accent4 25 2 4" xfId="6190"/>
    <cellStyle name="20% - Accent4 25 3" xfId="3797"/>
    <cellStyle name="20% - Accent4 25 3 2" xfId="9130"/>
    <cellStyle name="20% - Accent4 25 4" xfId="2192"/>
    <cellStyle name="20% - Accent4 25 4 2" xfId="7526"/>
    <cellStyle name="20% - Accent4 25 5" xfId="5714"/>
    <cellStyle name="20% - Accent4 26" xfId="391"/>
    <cellStyle name="20% - Accent4 26 2" xfId="868"/>
    <cellStyle name="20% - Accent4 26 2 2" xfId="3798"/>
    <cellStyle name="20% - Accent4 26 2 2 2" xfId="9131"/>
    <cellStyle name="20% - Accent4 26 2 3" xfId="2195"/>
    <cellStyle name="20% - Accent4 26 2 3 2" xfId="7529"/>
    <cellStyle name="20% - Accent4 26 2 4" xfId="6204"/>
    <cellStyle name="20% - Accent4 26 3" xfId="3799"/>
    <cellStyle name="20% - Accent4 26 3 2" xfId="9132"/>
    <cellStyle name="20% - Accent4 26 4" xfId="2194"/>
    <cellStyle name="20% - Accent4 26 4 2" xfId="7528"/>
    <cellStyle name="20% - Accent4 26 5" xfId="5728"/>
    <cellStyle name="20% - Accent4 27" xfId="405"/>
    <cellStyle name="20% - Accent4 27 2" xfId="882"/>
    <cellStyle name="20% - Accent4 27 2 2" xfId="3800"/>
    <cellStyle name="20% - Accent4 27 2 2 2" xfId="9133"/>
    <cellStyle name="20% - Accent4 27 2 3" xfId="2197"/>
    <cellStyle name="20% - Accent4 27 2 3 2" xfId="7531"/>
    <cellStyle name="20% - Accent4 27 2 4" xfId="6218"/>
    <cellStyle name="20% - Accent4 27 3" xfId="3801"/>
    <cellStyle name="20% - Accent4 27 3 2" xfId="9134"/>
    <cellStyle name="20% - Accent4 27 4" xfId="2196"/>
    <cellStyle name="20% - Accent4 27 4 2" xfId="7530"/>
    <cellStyle name="20% - Accent4 27 5" xfId="5742"/>
    <cellStyle name="20% - Accent4 28" xfId="419"/>
    <cellStyle name="20% - Accent4 28 2" xfId="896"/>
    <cellStyle name="20% - Accent4 28 2 2" xfId="3802"/>
    <cellStyle name="20% - Accent4 28 2 2 2" xfId="9135"/>
    <cellStyle name="20% - Accent4 28 2 3" xfId="2199"/>
    <cellStyle name="20% - Accent4 28 2 3 2" xfId="7533"/>
    <cellStyle name="20% - Accent4 28 2 4" xfId="6232"/>
    <cellStyle name="20% - Accent4 28 3" xfId="3803"/>
    <cellStyle name="20% - Accent4 28 3 2" xfId="9136"/>
    <cellStyle name="20% - Accent4 28 4" xfId="2198"/>
    <cellStyle name="20% - Accent4 28 4 2" xfId="7532"/>
    <cellStyle name="20% - Accent4 28 5" xfId="5756"/>
    <cellStyle name="20% - Accent4 29" xfId="433"/>
    <cellStyle name="20% - Accent4 29 2" xfId="910"/>
    <cellStyle name="20% - Accent4 29 2 2" xfId="3804"/>
    <cellStyle name="20% - Accent4 29 2 2 2" xfId="9137"/>
    <cellStyle name="20% - Accent4 29 2 3" xfId="2201"/>
    <cellStyle name="20% - Accent4 29 2 3 2" xfId="7535"/>
    <cellStyle name="20% - Accent4 29 2 4" xfId="6246"/>
    <cellStyle name="20% - Accent4 29 3" xfId="3805"/>
    <cellStyle name="20% - Accent4 29 3 2" xfId="9138"/>
    <cellStyle name="20% - Accent4 29 4" xfId="2200"/>
    <cellStyle name="20% - Accent4 29 4 2" xfId="7534"/>
    <cellStyle name="20% - Accent4 29 5" xfId="5770"/>
    <cellStyle name="20% - Accent4 3" xfId="68"/>
    <cellStyle name="20% - Accent4 3 2" xfId="545"/>
    <cellStyle name="20% - Accent4 3 2 2" xfId="3806"/>
    <cellStyle name="20% - Accent4 3 2 2 2" xfId="9139"/>
    <cellStyle name="20% - Accent4 3 2 3" xfId="2203"/>
    <cellStyle name="20% - Accent4 3 2 3 2" xfId="7537"/>
    <cellStyle name="20% - Accent4 3 2 4" xfId="5882"/>
    <cellStyle name="20% - Accent4 3 3" xfId="3807"/>
    <cellStyle name="20% - Accent4 3 3 2" xfId="9140"/>
    <cellStyle name="20% - Accent4 3 4" xfId="2202"/>
    <cellStyle name="20% - Accent4 3 4 2" xfId="7536"/>
    <cellStyle name="20% - Accent4 3 5" xfId="5406"/>
    <cellStyle name="20% - Accent4 30" xfId="447"/>
    <cellStyle name="20% - Accent4 30 2" xfId="924"/>
    <cellStyle name="20% - Accent4 30 2 2" xfId="3808"/>
    <cellStyle name="20% - Accent4 30 2 2 2" xfId="9141"/>
    <cellStyle name="20% - Accent4 30 2 3" xfId="2205"/>
    <cellStyle name="20% - Accent4 30 2 3 2" xfId="7539"/>
    <cellStyle name="20% - Accent4 30 2 4" xfId="6260"/>
    <cellStyle name="20% - Accent4 30 3" xfId="3809"/>
    <cellStyle name="20% - Accent4 30 3 2" xfId="9142"/>
    <cellStyle name="20% - Accent4 30 4" xfId="2204"/>
    <cellStyle name="20% - Accent4 30 4 2" xfId="7538"/>
    <cellStyle name="20% - Accent4 30 5" xfId="5784"/>
    <cellStyle name="20% - Accent4 31" xfId="461"/>
    <cellStyle name="20% - Accent4 31 2" xfId="938"/>
    <cellStyle name="20% - Accent4 31 2 2" xfId="3810"/>
    <cellStyle name="20% - Accent4 31 2 2 2" xfId="9143"/>
    <cellStyle name="20% - Accent4 31 2 3" xfId="2207"/>
    <cellStyle name="20% - Accent4 31 2 3 2" xfId="7541"/>
    <cellStyle name="20% - Accent4 31 2 4" xfId="6274"/>
    <cellStyle name="20% - Accent4 31 3" xfId="3811"/>
    <cellStyle name="20% - Accent4 31 3 2" xfId="9144"/>
    <cellStyle name="20% - Accent4 31 4" xfId="2206"/>
    <cellStyle name="20% - Accent4 31 4 2" xfId="7540"/>
    <cellStyle name="20% - Accent4 31 5" xfId="5798"/>
    <cellStyle name="20% - Accent4 32" xfId="475"/>
    <cellStyle name="20% - Accent4 32 2" xfId="952"/>
    <cellStyle name="20% - Accent4 32 2 2" xfId="3812"/>
    <cellStyle name="20% - Accent4 32 2 2 2" xfId="9145"/>
    <cellStyle name="20% - Accent4 32 2 3" xfId="2209"/>
    <cellStyle name="20% - Accent4 32 2 3 2" xfId="7543"/>
    <cellStyle name="20% - Accent4 32 2 4" xfId="6288"/>
    <cellStyle name="20% - Accent4 32 3" xfId="3813"/>
    <cellStyle name="20% - Accent4 32 3 2" xfId="9146"/>
    <cellStyle name="20% - Accent4 32 4" xfId="2208"/>
    <cellStyle name="20% - Accent4 32 4 2" xfId="7542"/>
    <cellStyle name="20% - Accent4 32 5" xfId="5812"/>
    <cellStyle name="20% - Accent4 33" xfId="489"/>
    <cellStyle name="20% - Accent4 33 2" xfId="966"/>
    <cellStyle name="20% - Accent4 33 2 2" xfId="3814"/>
    <cellStyle name="20% - Accent4 33 2 2 2" xfId="9147"/>
    <cellStyle name="20% - Accent4 33 2 3" xfId="2211"/>
    <cellStyle name="20% - Accent4 33 2 3 2" xfId="7545"/>
    <cellStyle name="20% - Accent4 33 2 4" xfId="6302"/>
    <cellStyle name="20% - Accent4 33 3" xfId="3815"/>
    <cellStyle name="20% - Accent4 33 3 2" xfId="9148"/>
    <cellStyle name="20% - Accent4 33 4" xfId="2210"/>
    <cellStyle name="20% - Accent4 33 4 2" xfId="7544"/>
    <cellStyle name="20% - Accent4 33 5" xfId="5826"/>
    <cellStyle name="20% - Accent4 34" xfId="503"/>
    <cellStyle name="20% - Accent4 34 2" xfId="980"/>
    <cellStyle name="20% - Accent4 34 2 2" xfId="3816"/>
    <cellStyle name="20% - Accent4 34 2 2 2" xfId="9149"/>
    <cellStyle name="20% - Accent4 34 2 3" xfId="2213"/>
    <cellStyle name="20% - Accent4 34 2 3 2" xfId="7547"/>
    <cellStyle name="20% - Accent4 34 2 4" xfId="6316"/>
    <cellStyle name="20% - Accent4 34 3" xfId="3817"/>
    <cellStyle name="20% - Accent4 34 3 2" xfId="9150"/>
    <cellStyle name="20% - Accent4 34 4" xfId="2212"/>
    <cellStyle name="20% - Accent4 34 4 2" xfId="7546"/>
    <cellStyle name="20% - Accent4 34 5" xfId="5840"/>
    <cellStyle name="20% - Accent4 35" xfId="994"/>
    <cellStyle name="20% - Accent4 35 2" xfId="3818"/>
    <cellStyle name="20% - Accent4 35 2 2" xfId="9151"/>
    <cellStyle name="20% - Accent4 35 3" xfId="2214"/>
    <cellStyle name="20% - Accent4 35 3 2" xfId="7548"/>
    <cellStyle name="20% - Accent4 35 4" xfId="6330"/>
    <cellStyle name="20% - Accent4 36" xfId="1008"/>
    <cellStyle name="20% - Accent4 36 2" xfId="3819"/>
    <cellStyle name="20% - Accent4 36 2 2" xfId="9152"/>
    <cellStyle name="20% - Accent4 36 3" xfId="2215"/>
    <cellStyle name="20% - Accent4 36 3 2" xfId="7549"/>
    <cellStyle name="20% - Accent4 36 4" xfId="6344"/>
    <cellStyle name="20% - Accent4 37" xfId="1022"/>
    <cellStyle name="20% - Accent4 37 2" xfId="3820"/>
    <cellStyle name="20% - Accent4 37 2 2" xfId="9153"/>
    <cellStyle name="20% - Accent4 37 3" xfId="2216"/>
    <cellStyle name="20% - Accent4 37 3 2" xfId="7550"/>
    <cellStyle name="20% - Accent4 37 4" xfId="6358"/>
    <cellStyle name="20% - Accent4 38" xfId="512"/>
    <cellStyle name="20% - Accent4 38 2" xfId="3821"/>
    <cellStyle name="20% - Accent4 38 2 2" xfId="9154"/>
    <cellStyle name="20% - Accent4 38 3" xfId="2217"/>
    <cellStyle name="20% - Accent4 38 3 2" xfId="7551"/>
    <cellStyle name="20% - Accent4 38 4" xfId="5849"/>
    <cellStyle name="20% - Accent4 39" xfId="1036"/>
    <cellStyle name="20% - Accent4 39 2" xfId="3822"/>
    <cellStyle name="20% - Accent4 39 2 2" xfId="9155"/>
    <cellStyle name="20% - Accent4 39 3" xfId="3037"/>
    <cellStyle name="20% - Accent4 39 3 2" xfId="8371"/>
    <cellStyle name="20% - Accent4 39 4" xfId="6372"/>
    <cellStyle name="20% - Accent4 4" xfId="82"/>
    <cellStyle name="20% - Accent4 4 2" xfId="559"/>
    <cellStyle name="20% - Accent4 4 2 2" xfId="3823"/>
    <cellStyle name="20% - Accent4 4 2 2 2" xfId="9156"/>
    <cellStyle name="20% - Accent4 4 2 3" xfId="2219"/>
    <cellStyle name="20% - Accent4 4 2 3 2" xfId="7553"/>
    <cellStyle name="20% - Accent4 4 2 4" xfId="5896"/>
    <cellStyle name="20% - Accent4 4 3" xfId="3824"/>
    <cellStyle name="20% - Accent4 4 3 2" xfId="9157"/>
    <cellStyle name="20% - Accent4 4 4" xfId="2218"/>
    <cellStyle name="20% - Accent4 4 4 2" xfId="7552"/>
    <cellStyle name="20% - Accent4 4 5" xfId="5420"/>
    <cellStyle name="20% - Accent4 40" xfId="1050"/>
    <cellStyle name="20% - Accent4 40 2" xfId="3825"/>
    <cellStyle name="20% - Accent4 40 2 2" xfId="9158"/>
    <cellStyle name="20% - Accent4 40 3" xfId="3038"/>
    <cellStyle name="20% - Accent4 40 3 2" xfId="8372"/>
    <cellStyle name="20% - Accent4 40 4" xfId="6386"/>
    <cellStyle name="20% - Accent4 41" xfId="1064"/>
    <cellStyle name="20% - Accent4 41 2" xfId="3826"/>
    <cellStyle name="20% - Accent4 41 2 2" xfId="9159"/>
    <cellStyle name="20% - Accent4 41 3" xfId="3039"/>
    <cellStyle name="20% - Accent4 41 3 2" xfId="8373"/>
    <cellStyle name="20% - Accent4 41 4" xfId="6400"/>
    <cellStyle name="20% - Accent4 42" xfId="1078"/>
    <cellStyle name="20% - Accent4 42 2" xfId="3827"/>
    <cellStyle name="20% - Accent4 42 2 2" xfId="9160"/>
    <cellStyle name="20% - Accent4 42 3" xfId="3040"/>
    <cellStyle name="20% - Accent4 42 3 2" xfId="8374"/>
    <cellStyle name="20% - Accent4 42 4" xfId="6414"/>
    <cellStyle name="20% - Accent4 43" xfId="1092"/>
    <cellStyle name="20% - Accent4 43 2" xfId="3828"/>
    <cellStyle name="20% - Accent4 43 2 2" xfId="9161"/>
    <cellStyle name="20% - Accent4 43 3" xfId="3041"/>
    <cellStyle name="20% - Accent4 43 3 2" xfId="8375"/>
    <cellStyle name="20% - Accent4 43 4" xfId="6428"/>
    <cellStyle name="20% - Accent4 44" xfId="1106"/>
    <cellStyle name="20% - Accent4 44 2" xfId="3829"/>
    <cellStyle name="20% - Accent4 44 2 2" xfId="9162"/>
    <cellStyle name="20% - Accent4 44 3" xfId="3042"/>
    <cellStyle name="20% - Accent4 44 3 2" xfId="8376"/>
    <cellStyle name="20% - Accent4 44 4" xfId="6442"/>
    <cellStyle name="20% - Accent4 45" xfId="1120"/>
    <cellStyle name="20% - Accent4 45 2" xfId="3830"/>
    <cellStyle name="20% - Accent4 45 2 2" xfId="9163"/>
    <cellStyle name="20% - Accent4 45 3" xfId="3043"/>
    <cellStyle name="20% - Accent4 45 3 2" xfId="8377"/>
    <cellStyle name="20% - Accent4 45 4" xfId="6456"/>
    <cellStyle name="20% - Accent4 46" xfId="1134"/>
    <cellStyle name="20% - Accent4 46 2" xfId="3831"/>
    <cellStyle name="20% - Accent4 46 2 2" xfId="9164"/>
    <cellStyle name="20% - Accent4 46 3" xfId="3044"/>
    <cellStyle name="20% - Accent4 46 3 2" xfId="8378"/>
    <cellStyle name="20% - Accent4 46 4" xfId="6470"/>
    <cellStyle name="20% - Accent4 47" xfId="1148"/>
    <cellStyle name="20% - Accent4 47 2" xfId="3832"/>
    <cellStyle name="20% - Accent4 47 2 2" xfId="9165"/>
    <cellStyle name="20% - Accent4 47 3" xfId="3045"/>
    <cellStyle name="20% - Accent4 47 3 2" xfId="8379"/>
    <cellStyle name="20% - Accent4 47 4" xfId="6484"/>
    <cellStyle name="20% - Accent4 48" xfId="1162"/>
    <cellStyle name="20% - Accent4 48 2" xfId="3833"/>
    <cellStyle name="20% - Accent4 48 2 2" xfId="9166"/>
    <cellStyle name="20% - Accent4 48 3" xfId="3046"/>
    <cellStyle name="20% - Accent4 48 3 2" xfId="8380"/>
    <cellStyle name="20% - Accent4 48 4" xfId="6498"/>
    <cellStyle name="20% - Accent4 49" xfId="1176"/>
    <cellStyle name="20% - Accent4 49 2" xfId="3834"/>
    <cellStyle name="20% - Accent4 49 2 2" xfId="9167"/>
    <cellStyle name="20% - Accent4 49 3" xfId="3047"/>
    <cellStyle name="20% - Accent4 49 3 2" xfId="8381"/>
    <cellStyle name="20% - Accent4 49 4" xfId="6512"/>
    <cellStyle name="20% - Accent4 5" xfId="96"/>
    <cellStyle name="20% - Accent4 5 2" xfId="573"/>
    <cellStyle name="20% - Accent4 5 2 2" xfId="3835"/>
    <cellStyle name="20% - Accent4 5 2 2 2" xfId="9168"/>
    <cellStyle name="20% - Accent4 5 2 3" xfId="2221"/>
    <cellStyle name="20% - Accent4 5 2 3 2" xfId="7555"/>
    <cellStyle name="20% - Accent4 5 2 4" xfId="5910"/>
    <cellStyle name="20% - Accent4 5 3" xfId="3836"/>
    <cellStyle name="20% - Accent4 5 3 2" xfId="9169"/>
    <cellStyle name="20% - Accent4 5 4" xfId="2220"/>
    <cellStyle name="20% - Accent4 5 4 2" xfId="7554"/>
    <cellStyle name="20% - Accent4 5 5" xfId="5434"/>
    <cellStyle name="20% - Accent4 50" xfId="1190"/>
    <cellStyle name="20% - Accent4 50 2" xfId="3837"/>
    <cellStyle name="20% - Accent4 50 2 2" xfId="9170"/>
    <cellStyle name="20% - Accent4 50 3" xfId="3048"/>
    <cellStyle name="20% - Accent4 50 3 2" xfId="8382"/>
    <cellStyle name="20% - Accent4 50 4" xfId="6526"/>
    <cellStyle name="20% - Accent4 51" xfId="1204"/>
    <cellStyle name="20% - Accent4 51 2" xfId="3838"/>
    <cellStyle name="20% - Accent4 51 2 2" xfId="9171"/>
    <cellStyle name="20% - Accent4 51 3" xfId="3049"/>
    <cellStyle name="20% - Accent4 51 3 2" xfId="8383"/>
    <cellStyle name="20% - Accent4 51 4" xfId="6540"/>
    <cellStyle name="20% - Accent4 52" xfId="1218"/>
    <cellStyle name="20% - Accent4 52 2" xfId="3839"/>
    <cellStyle name="20% - Accent4 52 2 2" xfId="9172"/>
    <cellStyle name="20% - Accent4 52 3" xfId="3050"/>
    <cellStyle name="20% - Accent4 52 3 2" xfId="8384"/>
    <cellStyle name="20% - Accent4 52 4" xfId="6554"/>
    <cellStyle name="20% - Accent4 53" xfId="1232"/>
    <cellStyle name="20% - Accent4 53 2" xfId="3840"/>
    <cellStyle name="20% - Accent4 53 2 2" xfId="9173"/>
    <cellStyle name="20% - Accent4 53 3" xfId="3051"/>
    <cellStyle name="20% - Accent4 53 3 2" xfId="8385"/>
    <cellStyle name="20% - Accent4 53 4" xfId="6568"/>
    <cellStyle name="20% - Accent4 54" xfId="1246"/>
    <cellStyle name="20% - Accent4 54 2" xfId="3841"/>
    <cellStyle name="20% - Accent4 54 2 2" xfId="9174"/>
    <cellStyle name="20% - Accent4 54 3" xfId="3052"/>
    <cellStyle name="20% - Accent4 54 3 2" xfId="8386"/>
    <cellStyle name="20% - Accent4 54 4" xfId="6582"/>
    <cellStyle name="20% - Accent4 55" xfId="1260"/>
    <cellStyle name="20% - Accent4 55 2" xfId="3842"/>
    <cellStyle name="20% - Accent4 55 2 2" xfId="9175"/>
    <cellStyle name="20% - Accent4 55 3" xfId="3053"/>
    <cellStyle name="20% - Accent4 55 3 2" xfId="8387"/>
    <cellStyle name="20% - Accent4 55 4" xfId="6596"/>
    <cellStyle name="20% - Accent4 56" xfId="1274"/>
    <cellStyle name="20% - Accent4 56 2" xfId="3843"/>
    <cellStyle name="20% - Accent4 56 2 2" xfId="9176"/>
    <cellStyle name="20% - Accent4 56 3" xfId="3054"/>
    <cellStyle name="20% - Accent4 56 3 2" xfId="8388"/>
    <cellStyle name="20% - Accent4 56 4" xfId="6610"/>
    <cellStyle name="20% - Accent4 57" xfId="1288"/>
    <cellStyle name="20% - Accent4 57 2" xfId="3844"/>
    <cellStyle name="20% - Accent4 57 2 2" xfId="9177"/>
    <cellStyle name="20% - Accent4 57 3" xfId="3055"/>
    <cellStyle name="20% - Accent4 57 3 2" xfId="8389"/>
    <cellStyle name="20% - Accent4 57 4" xfId="6624"/>
    <cellStyle name="20% - Accent4 58" xfId="1302"/>
    <cellStyle name="20% - Accent4 58 2" xfId="3845"/>
    <cellStyle name="20% - Accent4 58 2 2" xfId="9178"/>
    <cellStyle name="20% - Accent4 58 3" xfId="3056"/>
    <cellStyle name="20% - Accent4 58 3 2" xfId="8390"/>
    <cellStyle name="20% - Accent4 58 4" xfId="6638"/>
    <cellStyle name="20% - Accent4 59" xfId="1316"/>
    <cellStyle name="20% - Accent4 59 2" xfId="3846"/>
    <cellStyle name="20% - Accent4 59 2 2" xfId="9179"/>
    <cellStyle name="20% - Accent4 59 3" xfId="3057"/>
    <cellStyle name="20% - Accent4 59 3 2" xfId="8391"/>
    <cellStyle name="20% - Accent4 59 4" xfId="6652"/>
    <cellStyle name="20% - Accent4 6" xfId="110"/>
    <cellStyle name="20% - Accent4 6 2" xfId="587"/>
    <cellStyle name="20% - Accent4 6 2 2" xfId="3847"/>
    <cellStyle name="20% - Accent4 6 2 2 2" xfId="9180"/>
    <cellStyle name="20% - Accent4 6 2 3" xfId="2223"/>
    <cellStyle name="20% - Accent4 6 2 3 2" xfId="7557"/>
    <cellStyle name="20% - Accent4 6 2 4" xfId="5924"/>
    <cellStyle name="20% - Accent4 6 3" xfId="3848"/>
    <cellStyle name="20% - Accent4 6 3 2" xfId="9181"/>
    <cellStyle name="20% - Accent4 6 4" xfId="2222"/>
    <cellStyle name="20% - Accent4 6 4 2" xfId="7556"/>
    <cellStyle name="20% - Accent4 6 5" xfId="5448"/>
    <cellStyle name="20% - Accent4 60" xfId="1330"/>
    <cellStyle name="20% - Accent4 60 2" xfId="3849"/>
    <cellStyle name="20% - Accent4 60 2 2" xfId="9182"/>
    <cellStyle name="20% - Accent4 60 3" xfId="3058"/>
    <cellStyle name="20% - Accent4 60 3 2" xfId="8392"/>
    <cellStyle name="20% - Accent4 60 4" xfId="6666"/>
    <cellStyle name="20% - Accent4 61" xfId="1344"/>
    <cellStyle name="20% - Accent4 61 2" xfId="3850"/>
    <cellStyle name="20% - Accent4 61 2 2" xfId="9183"/>
    <cellStyle name="20% - Accent4 61 3" xfId="3059"/>
    <cellStyle name="20% - Accent4 61 3 2" xfId="8393"/>
    <cellStyle name="20% - Accent4 61 4" xfId="6680"/>
    <cellStyle name="20% - Accent4 62" xfId="1358"/>
    <cellStyle name="20% - Accent4 62 2" xfId="3060"/>
    <cellStyle name="20% - Accent4 62 2 2" xfId="8394"/>
    <cellStyle name="20% - Accent4 62 3" xfId="6694"/>
    <cellStyle name="20% - Accent4 63" xfId="1372"/>
    <cellStyle name="20% - Accent4 63 2" xfId="3061"/>
    <cellStyle name="20% - Accent4 63 2 2" xfId="8395"/>
    <cellStyle name="20% - Accent4 63 3" xfId="6708"/>
    <cellStyle name="20% - Accent4 64" xfId="1386"/>
    <cellStyle name="20% - Accent4 64 2" xfId="3062"/>
    <cellStyle name="20% - Accent4 64 2 2" xfId="8396"/>
    <cellStyle name="20% - Accent4 64 3" xfId="6722"/>
    <cellStyle name="20% - Accent4 65" xfId="1400"/>
    <cellStyle name="20% - Accent4 65 2" xfId="3063"/>
    <cellStyle name="20% - Accent4 65 2 2" xfId="8397"/>
    <cellStyle name="20% - Accent4 65 3" xfId="6736"/>
    <cellStyle name="20% - Accent4 66" xfId="1414"/>
    <cellStyle name="20% - Accent4 66 2" xfId="3064"/>
    <cellStyle name="20% - Accent4 66 2 2" xfId="8398"/>
    <cellStyle name="20% - Accent4 66 3" xfId="6750"/>
    <cellStyle name="20% - Accent4 67" xfId="1428"/>
    <cellStyle name="20% - Accent4 67 2" xfId="3065"/>
    <cellStyle name="20% - Accent4 67 2 2" xfId="8399"/>
    <cellStyle name="20% - Accent4 67 3" xfId="6764"/>
    <cellStyle name="20% - Accent4 68" xfId="1442"/>
    <cellStyle name="20% - Accent4 68 2" xfId="3066"/>
    <cellStyle name="20% - Accent4 68 2 2" xfId="8400"/>
    <cellStyle name="20% - Accent4 68 3" xfId="6778"/>
    <cellStyle name="20% - Accent4 69" xfId="1456"/>
    <cellStyle name="20% - Accent4 69 2" xfId="3067"/>
    <cellStyle name="20% - Accent4 69 2 2" xfId="8401"/>
    <cellStyle name="20% - Accent4 69 3" xfId="6792"/>
    <cellStyle name="20% - Accent4 7" xfId="124"/>
    <cellStyle name="20% - Accent4 7 2" xfId="601"/>
    <cellStyle name="20% - Accent4 7 2 2" xfId="3851"/>
    <cellStyle name="20% - Accent4 7 2 2 2" xfId="9184"/>
    <cellStyle name="20% - Accent4 7 2 3" xfId="2225"/>
    <cellStyle name="20% - Accent4 7 2 3 2" xfId="7559"/>
    <cellStyle name="20% - Accent4 7 2 4" xfId="5938"/>
    <cellStyle name="20% - Accent4 7 3" xfId="3852"/>
    <cellStyle name="20% - Accent4 7 3 2" xfId="9185"/>
    <cellStyle name="20% - Accent4 7 4" xfId="2224"/>
    <cellStyle name="20% - Accent4 7 4 2" xfId="7558"/>
    <cellStyle name="20% - Accent4 7 5" xfId="5462"/>
    <cellStyle name="20% - Accent4 70" xfId="1470"/>
    <cellStyle name="20% - Accent4 70 2" xfId="3068"/>
    <cellStyle name="20% - Accent4 70 2 2" xfId="8402"/>
    <cellStyle name="20% - Accent4 70 3" xfId="6806"/>
    <cellStyle name="20% - Accent4 71" xfId="1484"/>
    <cellStyle name="20% - Accent4 71 2" xfId="3069"/>
    <cellStyle name="20% - Accent4 71 2 2" xfId="8403"/>
    <cellStyle name="20% - Accent4 71 3" xfId="6820"/>
    <cellStyle name="20% - Accent4 72" xfId="1498"/>
    <cellStyle name="20% - Accent4 72 2" xfId="3070"/>
    <cellStyle name="20% - Accent4 72 2 2" xfId="8404"/>
    <cellStyle name="20% - Accent4 72 3" xfId="6834"/>
    <cellStyle name="20% - Accent4 73" xfId="1512"/>
    <cellStyle name="20% - Accent4 73 2" xfId="3071"/>
    <cellStyle name="20% - Accent4 73 2 2" xfId="8405"/>
    <cellStyle name="20% - Accent4 73 3" xfId="6848"/>
    <cellStyle name="20% - Accent4 74" xfId="1526"/>
    <cellStyle name="20% - Accent4 74 2" xfId="3072"/>
    <cellStyle name="20% - Accent4 74 2 2" xfId="8406"/>
    <cellStyle name="20% - Accent4 74 3" xfId="6862"/>
    <cellStyle name="20% - Accent4 75" xfId="1540"/>
    <cellStyle name="20% - Accent4 75 2" xfId="3073"/>
    <cellStyle name="20% - Accent4 75 2 2" xfId="8407"/>
    <cellStyle name="20% - Accent4 75 3" xfId="6876"/>
    <cellStyle name="20% - Accent4 76" xfId="1554"/>
    <cellStyle name="20% - Accent4 76 2" xfId="3444"/>
    <cellStyle name="20% - Accent4 76 2 2" xfId="8778"/>
    <cellStyle name="20% - Accent4 76 3" xfId="6890"/>
    <cellStyle name="20% - Accent4 77" xfId="1568"/>
    <cellStyle name="20% - Accent4 77 2" xfId="3445"/>
    <cellStyle name="20% - Accent4 77 2 2" xfId="8779"/>
    <cellStyle name="20% - Accent4 77 3" xfId="6904"/>
    <cellStyle name="20% - Accent4 78" xfId="1582"/>
    <cellStyle name="20% - Accent4 78 2" xfId="3446"/>
    <cellStyle name="20% - Accent4 78 2 2" xfId="8780"/>
    <cellStyle name="20% - Accent4 78 3" xfId="6918"/>
    <cellStyle name="20% - Accent4 79" xfId="1596"/>
    <cellStyle name="20% - Accent4 79 2" xfId="3447"/>
    <cellStyle name="20% - Accent4 79 2 2" xfId="8781"/>
    <cellStyle name="20% - Accent4 79 3" xfId="6932"/>
    <cellStyle name="20% - Accent4 8" xfId="138"/>
    <cellStyle name="20% - Accent4 8 2" xfId="615"/>
    <cellStyle name="20% - Accent4 8 2 2" xfId="3853"/>
    <cellStyle name="20% - Accent4 8 2 2 2" xfId="9186"/>
    <cellStyle name="20% - Accent4 8 2 3" xfId="2227"/>
    <cellStyle name="20% - Accent4 8 2 3 2" xfId="7561"/>
    <cellStyle name="20% - Accent4 8 2 4" xfId="5952"/>
    <cellStyle name="20% - Accent4 8 3" xfId="3854"/>
    <cellStyle name="20% - Accent4 8 3 2" xfId="9187"/>
    <cellStyle name="20% - Accent4 8 4" xfId="2226"/>
    <cellStyle name="20% - Accent4 8 4 2" xfId="7560"/>
    <cellStyle name="20% - Accent4 8 5" xfId="5476"/>
    <cellStyle name="20% - Accent4 80" xfId="1610"/>
    <cellStyle name="20% - Accent4 80 2" xfId="4809"/>
    <cellStyle name="20% - Accent4 80 2 2" xfId="10142"/>
    <cellStyle name="20% - Accent4 80 3" xfId="6946"/>
    <cellStyle name="20% - Accent4 81" xfId="1624"/>
    <cellStyle name="20% - Accent4 81 2" xfId="4810"/>
    <cellStyle name="20% - Accent4 81 2 2" xfId="10143"/>
    <cellStyle name="20% - Accent4 81 3" xfId="6960"/>
    <cellStyle name="20% - Accent4 82" xfId="1638"/>
    <cellStyle name="20% - Accent4 82 2" xfId="4811"/>
    <cellStyle name="20% - Accent4 82 2 2" xfId="10144"/>
    <cellStyle name="20% - Accent4 82 3" xfId="6974"/>
    <cellStyle name="20% - Accent4 83" xfId="1652"/>
    <cellStyle name="20% - Accent4 83 2" xfId="4812"/>
    <cellStyle name="20% - Accent4 83 2 2" xfId="10145"/>
    <cellStyle name="20% - Accent4 83 3" xfId="6988"/>
    <cellStyle name="20% - Accent4 84" xfId="1666"/>
    <cellStyle name="20% - Accent4 84 2" xfId="4813"/>
    <cellStyle name="20% - Accent4 84 2 2" xfId="10146"/>
    <cellStyle name="20% - Accent4 84 3" xfId="7002"/>
    <cellStyle name="20% - Accent4 85" xfId="1680"/>
    <cellStyle name="20% - Accent4 85 2" xfId="4871"/>
    <cellStyle name="20% - Accent4 85 2 2" xfId="10204"/>
    <cellStyle name="20% - Accent4 85 3" xfId="7016"/>
    <cellStyle name="20% - Accent4 86" xfId="1694"/>
    <cellStyle name="20% - Accent4 86 2" xfId="4872"/>
    <cellStyle name="20% - Accent4 86 2 2" xfId="10205"/>
    <cellStyle name="20% - Accent4 86 3" xfId="7030"/>
    <cellStyle name="20% - Accent4 87" xfId="1708"/>
    <cellStyle name="20% - Accent4 87 2" xfId="4873"/>
    <cellStyle name="20% - Accent4 87 2 2" xfId="10206"/>
    <cellStyle name="20% - Accent4 87 3" xfId="7044"/>
    <cellStyle name="20% - Accent4 88" xfId="1722"/>
    <cellStyle name="20% - Accent4 88 2" xfId="4924"/>
    <cellStyle name="20% - Accent4 88 2 2" xfId="10257"/>
    <cellStyle name="20% - Accent4 88 3" xfId="7058"/>
    <cellStyle name="20% - Accent4 89" xfId="1736"/>
    <cellStyle name="20% - Accent4 89 2" xfId="4925"/>
    <cellStyle name="20% - Accent4 89 2 2" xfId="10258"/>
    <cellStyle name="20% - Accent4 89 3" xfId="7072"/>
    <cellStyle name="20% - Accent4 9" xfId="152"/>
    <cellStyle name="20% - Accent4 9 2" xfId="629"/>
    <cellStyle name="20% - Accent4 9 2 2" xfId="3855"/>
    <cellStyle name="20% - Accent4 9 2 2 2" xfId="9188"/>
    <cellStyle name="20% - Accent4 9 2 3" xfId="2229"/>
    <cellStyle name="20% - Accent4 9 2 3 2" xfId="7563"/>
    <cellStyle name="20% - Accent4 9 2 4" xfId="5966"/>
    <cellStyle name="20% - Accent4 9 3" xfId="3856"/>
    <cellStyle name="20% - Accent4 9 3 2" xfId="9189"/>
    <cellStyle name="20% - Accent4 9 4" xfId="2228"/>
    <cellStyle name="20% - Accent4 9 4 2" xfId="7562"/>
    <cellStyle name="20% - Accent4 9 5" xfId="5490"/>
    <cellStyle name="20% - Accent4 90" xfId="1750"/>
    <cellStyle name="20% - Accent4 90 2" xfId="4926"/>
    <cellStyle name="20% - Accent4 90 2 2" xfId="10259"/>
    <cellStyle name="20% - Accent4 90 3" xfId="7086"/>
    <cellStyle name="20% - Accent4 91" xfId="1764"/>
    <cellStyle name="20% - Accent4 91 2" xfId="4927"/>
    <cellStyle name="20% - Accent4 91 2 2" xfId="10260"/>
    <cellStyle name="20% - Accent4 91 3" xfId="7100"/>
    <cellStyle name="20% - Accent4 92" xfId="1778"/>
    <cellStyle name="20% - Accent4 92 2" xfId="4928"/>
    <cellStyle name="20% - Accent4 92 2 2" xfId="10261"/>
    <cellStyle name="20% - Accent4 92 3" xfId="7114"/>
    <cellStyle name="20% - Accent4 93" xfId="1792"/>
    <cellStyle name="20% - Accent4 93 2" xfId="4929"/>
    <cellStyle name="20% - Accent4 93 2 2" xfId="10262"/>
    <cellStyle name="20% - Accent4 93 3" xfId="7128"/>
    <cellStyle name="20% - Accent4 94" xfId="1806"/>
    <cellStyle name="20% - Accent4 94 2" xfId="4995"/>
    <cellStyle name="20% - Accent4 94 2 2" xfId="10326"/>
    <cellStyle name="20% - Accent4 94 3" xfId="7142"/>
    <cellStyle name="20% - Accent4 95" xfId="1820"/>
    <cellStyle name="20% - Accent4 95 2" xfId="4996"/>
    <cellStyle name="20% - Accent4 95 2 2" xfId="10327"/>
    <cellStyle name="20% - Accent4 95 3" xfId="7156"/>
    <cellStyle name="20% - Accent4 96" xfId="1834"/>
    <cellStyle name="20% - Accent4 96 2" xfId="5030"/>
    <cellStyle name="20% - Accent4 96 2 2" xfId="10361"/>
    <cellStyle name="20% - Accent4 96 3" xfId="7170"/>
    <cellStyle name="20% - Accent4 97" xfId="1848"/>
    <cellStyle name="20% - Accent4 97 2" xfId="5031"/>
    <cellStyle name="20% - Accent4 97 2 2" xfId="10362"/>
    <cellStyle name="20% - Accent4 97 3" xfId="7184"/>
    <cellStyle name="20% - Accent4 98" xfId="1862"/>
    <cellStyle name="20% - Accent4 98 2" xfId="5032"/>
    <cellStyle name="20% - Accent4 98 2 2" xfId="10363"/>
    <cellStyle name="20% - Accent4 98 3" xfId="7198"/>
    <cellStyle name="20% - Accent4 99" xfId="1876"/>
    <cellStyle name="20% - Accent4 99 2" xfId="5033"/>
    <cellStyle name="20% - Accent4 99 2 2" xfId="10364"/>
    <cellStyle name="20% - Accent4 99 3" xfId="7212"/>
    <cellStyle name="20% - Accent5" xfId="5" builtinId="46" customBuiltin="1"/>
    <cellStyle name="20% - Accent5 10" xfId="168"/>
    <cellStyle name="20% - Accent5 10 2" xfId="645"/>
    <cellStyle name="20% - Accent5 10 2 2" xfId="3857"/>
    <cellStyle name="20% - Accent5 10 2 2 2" xfId="9190"/>
    <cellStyle name="20% - Accent5 10 2 3" xfId="2231"/>
    <cellStyle name="20% - Accent5 10 2 3 2" xfId="7565"/>
    <cellStyle name="20% - Accent5 10 2 4" xfId="5982"/>
    <cellStyle name="20% - Accent5 10 3" xfId="3858"/>
    <cellStyle name="20% - Accent5 10 3 2" xfId="9191"/>
    <cellStyle name="20% - Accent5 10 4" xfId="2230"/>
    <cellStyle name="20% - Accent5 10 4 2" xfId="7564"/>
    <cellStyle name="20% - Accent5 10 5" xfId="5506"/>
    <cellStyle name="20% - Accent5 100" xfId="1892"/>
    <cellStyle name="20% - Accent5 100 2" xfId="7228"/>
    <cellStyle name="20% - Accent5 101" xfId="1906"/>
    <cellStyle name="20% - Accent5 101 2" xfId="7242"/>
    <cellStyle name="20% - Accent5 102" xfId="1920"/>
    <cellStyle name="20% - Accent5 102 2" xfId="7256"/>
    <cellStyle name="20% - Accent5 103" xfId="5081"/>
    <cellStyle name="20% - Accent5 103 2" xfId="10412"/>
    <cellStyle name="20% - Accent5 104" xfId="5095"/>
    <cellStyle name="20% - Accent5 104 2" xfId="10426"/>
    <cellStyle name="20% - Accent5 105" xfId="5109"/>
    <cellStyle name="20% - Accent5 105 2" xfId="10440"/>
    <cellStyle name="20% - Accent5 106" xfId="5123"/>
    <cellStyle name="20% - Accent5 106 2" xfId="10454"/>
    <cellStyle name="20% - Accent5 107" xfId="5137"/>
    <cellStyle name="20% - Accent5 107 2" xfId="10468"/>
    <cellStyle name="20% - Accent5 108" xfId="5151"/>
    <cellStyle name="20% - Accent5 108 2" xfId="10482"/>
    <cellStyle name="20% - Accent5 109" xfId="5165"/>
    <cellStyle name="20% - Accent5 109 2" xfId="10496"/>
    <cellStyle name="20% - Accent5 11" xfId="182"/>
    <cellStyle name="20% - Accent5 11 2" xfId="659"/>
    <cellStyle name="20% - Accent5 11 2 2" xfId="3859"/>
    <cellStyle name="20% - Accent5 11 2 2 2" xfId="9192"/>
    <cellStyle name="20% - Accent5 11 2 3" xfId="2233"/>
    <cellStyle name="20% - Accent5 11 2 3 2" xfId="7567"/>
    <cellStyle name="20% - Accent5 11 2 4" xfId="5996"/>
    <cellStyle name="20% - Accent5 11 3" xfId="3860"/>
    <cellStyle name="20% - Accent5 11 3 2" xfId="9193"/>
    <cellStyle name="20% - Accent5 11 4" xfId="2232"/>
    <cellStyle name="20% - Accent5 11 4 2" xfId="7566"/>
    <cellStyle name="20% - Accent5 11 5" xfId="5520"/>
    <cellStyle name="20% - Accent5 110" xfId="5179"/>
    <cellStyle name="20% - Accent5 110 2" xfId="10510"/>
    <cellStyle name="20% - Accent5 111" xfId="5193"/>
    <cellStyle name="20% - Accent5 111 2" xfId="10524"/>
    <cellStyle name="20% - Accent5 112" xfId="5207"/>
    <cellStyle name="20% - Accent5 112 2" xfId="10538"/>
    <cellStyle name="20% - Accent5 113" xfId="5221"/>
    <cellStyle name="20% - Accent5 113 2" xfId="10552"/>
    <cellStyle name="20% - Accent5 114" xfId="5235"/>
    <cellStyle name="20% - Accent5 114 2" xfId="10566"/>
    <cellStyle name="20% - Accent5 115" xfId="5249"/>
    <cellStyle name="20% - Accent5 115 2" xfId="10580"/>
    <cellStyle name="20% - Accent5 116" xfId="5263"/>
    <cellStyle name="20% - Accent5 116 2" xfId="10594"/>
    <cellStyle name="20% - Accent5 117" xfId="5277"/>
    <cellStyle name="20% - Accent5 117 2" xfId="10608"/>
    <cellStyle name="20% - Accent5 118" xfId="5291"/>
    <cellStyle name="20% - Accent5 118 2" xfId="10622"/>
    <cellStyle name="20% - Accent5 119" xfId="5305"/>
    <cellStyle name="20% - Accent5 119 2" xfId="10636"/>
    <cellStyle name="20% - Accent5 12" xfId="196"/>
    <cellStyle name="20% - Accent5 12 2" xfId="673"/>
    <cellStyle name="20% - Accent5 12 2 2" xfId="3861"/>
    <cellStyle name="20% - Accent5 12 2 2 2" xfId="9194"/>
    <cellStyle name="20% - Accent5 12 2 3" xfId="2235"/>
    <cellStyle name="20% - Accent5 12 2 3 2" xfId="7569"/>
    <cellStyle name="20% - Accent5 12 2 4" xfId="6010"/>
    <cellStyle name="20% - Accent5 12 3" xfId="3862"/>
    <cellStyle name="20% - Accent5 12 3 2" xfId="9195"/>
    <cellStyle name="20% - Accent5 12 4" xfId="2234"/>
    <cellStyle name="20% - Accent5 12 4 2" xfId="7568"/>
    <cellStyle name="20% - Accent5 12 5" xfId="5534"/>
    <cellStyle name="20% - Accent5 120" xfId="5319"/>
    <cellStyle name="20% - Accent5 120 2" xfId="10650"/>
    <cellStyle name="20% - Accent5 121" xfId="5333"/>
    <cellStyle name="20% - Accent5 121 2" xfId="10664"/>
    <cellStyle name="20% - Accent5 122" xfId="5347"/>
    <cellStyle name="20% - Accent5 122 2" xfId="10678"/>
    <cellStyle name="20% - Accent5 123" xfId="5366"/>
    <cellStyle name="20% - Accent5 123 2" xfId="10695"/>
    <cellStyle name="20% - Accent5 124" xfId="10709"/>
    <cellStyle name="20% - Accent5 125" xfId="5374"/>
    <cellStyle name="20% - Accent5 126" xfId="10723"/>
    <cellStyle name="20% - Accent5 127" xfId="10737"/>
    <cellStyle name="20% - Accent5 128" xfId="10751"/>
    <cellStyle name="20% - Accent5 129" xfId="10765"/>
    <cellStyle name="20% - Accent5 13" xfId="210"/>
    <cellStyle name="20% - Accent5 13 2" xfId="687"/>
    <cellStyle name="20% - Accent5 13 2 2" xfId="3863"/>
    <cellStyle name="20% - Accent5 13 2 2 2" xfId="9196"/>
    <cellStyle name="20% - Accent5 13 2 3" xfId="2237"/>
    <cellStyle name="20% - Accent5 13 2 3 2" xfId="7571"/>
    <cellStyle name="20% - Accent5 13 2 4" xfId="6024"/>
    <cellStyle name="20% - Accent5 13 3" xfId="3864"/>
    <cellStyle name="20% - Accent5 13 3 2" xfId="9197"/>
    <cellStyle name="20% - Accent5 13 4" xfId="2236"/>
    <cellStyle name="20% - Accent5 13 4 2" xfId="7570"/>
    <cellStyle name="20% - Accent5 13 5" xfId="5548"/>
    <cellStyle name="20% - Accent5 130" xfId="10779"/>
    <cellStyle name="20% - Accent5 131" xfId="10794"/>
    <cellStyle name="20% - Accent5 132" xfId="10808"/>
    <cellStyle name="20% - Accent5 133" xfId="10822"/>
    <cellStyle name="20% - Accent5 134" xfId="10836"/>
    <cellStyle name="20% - Accent5 135" xfId="10850"/>
    <cellStyle name="20% - Accent5 136" xfId="10864"/>
    <cellStyle name="20% - Accent5 137" xfId="10878"/>
    <cellStyle name="20% - Accent5 138" xfId="10892"/>
    <cellStyle name="20% - Accent5 139" xfId="10906"/>
    <cellStyle name="20% - Accent5 14" xfId="224"/>
    <cellStyle name="20% - Accent5 14 2" xfId="701"/>
    <cellStyle name="20% - Accent5 14 2 2" xfId="3865"/>
    <cellStyle name="20% - Accent5 14 2 2 2" xfId="9198"/>
    <cellStyle name="20% - Accent5 14 2 3" xfId="2239"/>
    <cellStyle name="20% - Accent5 14 2 3 2" xfId="7573"/>
    <cellStyle name="20% - Accent5 14 2 4" xfId="6038"/>
    <cellStyle name="20% - Accent5 14 3" xfId="3866"/>
    <cellStyle name="20% - Accent5 14 3 2" xfId="9199"/>
    <cellStyle name="20% - Accent5 14 4" xfId="2238"/>
    <cellStyle name="20% - Accent5 14 4 2" xfId="7572"/>
    <cellStyle name="20% - Accent5 14 5" xfId="5562"/>
    <cellStyle name="20% - Accent5 140" xfId="10920"/>
    <cellStyle name="20% - Accent5 141" xfId="10934"/>
    <cellStyle name="20% - Accent5 142" xfId="10948"/>
    <cellStyle name="20% - Accent5 143" xfId="10962"/>
    <cellStyle name="20% - Accent5 144" xfId="10976"/>
    <cellStyle name="20% - Accent5 145" xfId="10990"/>
    <cellStyle name="20% - Accent5 146" xfId="11004"/>
    <cellStyle name="20% - Accent5 147" xfId="11018"/>
    <cellStyle name="20% - Accent5 148" xfId="11032"/>
    <cellStyle name="20% - Accent5 149" xfId="11046"/>
    <cellStyle name="20% - Accent5 15" xfId="238"/>
    <cellStyle name="20% - Accent5 15 2" xfId="715"/>
    <cellStyle name="20% - Accent5 15 2 2" xfId="3867"/>
    <cellStyle name="20% - Accent5 15 2 2 2" xfId="9200"/>
    <cellStyle name="20% - Accent5 15 2 3" xfId="2241"/>
    <cellStyle name="20% - Accent5 15 2 3 2" xfId="7575"/>
    <cellStyle name="20% - Accent5 15 2 4" xfId="6052"/>
    <cellStyle name="20% - Accent5 15 3" xfId="3868"/>
    <cellStyle name="20% - Accent5 15 3 2" xfId="9201"/>
    <cellStyle name="20% - Accent5 15 4" xfId="2240"/>
    <cellStyle name="20% - Accent5 15 4 2" xfId="7574"/>
    <cellStyle name="20% - Accent5 15 5" xfId="5576"/>
    <cellStyle name="20% - Accent5 150" xfId="11060"/>
    <cellStyle name="20% - Accent5 16" xfId="252"/>
    <cellStyle name="20% - Accent5 16 2" xfId="729"/>
    <cellStyle name="20% - Accent5 16 2 2" xfId="3869"/>
    <cellStyle name="20% - Accent5 16 2 2 2" xfId="9202"/>
    <cellStyle name="20% - Accent5 16 2 3" xfId="2243"/>
    <cellStyle name="20% - Accent5 16 2 3 2" xfId="7577"/>
    <cellStyle name="20% - Accent5 16 2 4" xfId="6066"/>
    <cellStyle name="20% - Accent5 16 3" xfId="3870"/>
    <cellStyle name="20% - Accent5 16 3 2" xfId="9203"/>
    <cellStyle name="20% - Accent5 16 4" xfId="2242"/>
    <cellStyle name="20% - Accent5 16 4 2" xfId="7576"/>
    <cellStyle name="20% - Accent5 16 5" xfId="5590"/>
    <cellStyle name="20% - Accent5 17" xfId="266"/>
    <cellStyle name="20% - Accent5 17 2" xfId="743"/>
    <cellStyle name="20% - Accent5 17 2 2" xfId="3871"/>
    <cellStyle name="20% - Accent5 17 2 2 2" xfId="9204"/>
    <cellStyle name="20% - Accent5 17 2 3" xfId="2245"/>
    <cellStyle name="20% - Accent5 17 2 3 2" xfId="7579"/>
    <cellStyle name="20% - Accent5 17 2 4" xfId="6080"/>
    <cellStyle name="20% - Accent5 17 3" xfId="3872"/>
    <cellStyle name="20% - Accent5 17 3 2" xfId="9205"/>
    <cellStyle name="20% - Accent5 17 4" xfId="2244"/>
    <cellStyle name="20% - Accent5 17 4 2" xfId="7578"/>
    <cellStyle name="20% - Accent5 17 5" xfId="5604"/>
    <cellStyle name="20% - Accent5 18" xfId="280"/>
    <cellStyle name="20% - Accent5 18 2" xfId="757"/>
    <cellStyle name="20% - Accent5 18 2 2" xfId="3873"/>
    <cellStyle name="20% - Accent5 18 2 2 2" xfId="9206"/>
    <cellStyle name="20% - Accent5 18 2 3" xfId="2247"/>
    <cellStyle name="20% - Accent5 18 2 3 2" xfId="7581"/>
    <cellStyle name="20% - Accent5 18 2 4" xfId="6094"/>
    <cellStyle name="20% - Accent5 18 3" xfId="3874"/>
    <cellStyle name="20% - Accent5 18 3 2" xfId="9207"/>
    <cellStyle name="20% - Accent5 18 4" xfId="2246"/>
    <cellStyle name="20% - Accent5 18 4 2" xfId="7580"/>
    <cellStyle name="20% - Accent5 18 5" xfId="5618"/>
    <cellStyle name="20% - Accent5 19" xfId="294"/>
    <cellStyle name="20% - Accent5 19 2" xfId="771"/>
    <cellStyle name="20% - Accent5 19 2 2" xfId="3875"/>
    <cellStyle name="20% - Accent5 19 2 2 2" xfId="9208"/>
    <cellStyle name="20% - Accent5 19 2 3" xfId="2249"/>
    <cellStyle name="20% - Accent5 19 2 3 2" xfId="7583"/>
    <cellStyle name="20% - Accent5 19 2 4" xfId="6108"/>
    <cellStyle name="20% - Accent5 19 3" xfId="3876"/>
    <cellStyle name="20% - Accent5 19 3 2" xfId="9209"/>
    <cellStyle name="20% - Accent5 19 4" xfId="2248"/>
    <cellStyle name="20% - Accent5 19 4 2" xfId="7582"/>
    <cellStyle name="20% - Accent5 19 5" xfId="5632"/>
    <cellStyle name="20% - Accent5 2" xfId="56"/>
    <cellStyle name="20% - Accent5 2 2" xfId="533"/>
    <cellStyle name="20% - Accent5 2 2 2" xfId="3877"/>
    <cellStyle name="20% - Accent5 2 2 2 2" xfId="9210"/>
    <cellStyle name="20% - Accent5 2 2 3" xfId="2251"/>
    <cellStyle name="20% - Accent5 2 2 3 2" xfId="7585"/>
    <cellStyle name="20% - Accent5 2 2 4" xfId="5870"/>
    <cellStyle name="20% - Accent5 2 3" xfId="3878"/>
    <cellStyle name="20% - Accent5 2 3 2" xfId="9211"/>
    <cellStyle name="20% - Accent5 2 4" xfId="2250"/>
    <cellStyle name="20% - Accent5 2 4 2" xfId="7584"/>
    <cellStyle name="20% - Accent5 2 5" xfId="5394"/>
    <cellStyle name="20% - Accent5 20" xfId="308"/>
    <cellStyle name="20% - Accent5 20 2" xfId="785"/>
    <cellStyle name="20% - Accent5 20 2 2" xfId="3879"/>
    <cellStyle name="20% - Accent5 20 2 2 2" xfId="9212"/>
    <cellStyle name="20% - Accent5 20 2 3" xfId="2253"/>
    <cellStyle name="20% - Accent5 20 2 3 2" xfId="7587"/>
    <cellStyle name="20% - Accent5 20 2 4" xfId="6122"/>
    <cellStyle name="20% - Accent5 20 3" xfId="3880"/>
    <cellStyle name="20% - Accent5 20 3 2" xfId="9213"/>
    <cellStyle name="20% - Accent5 20 4" xfId="2252"/>
    <cellStyle name="20% - Accent5 20 4 2" xfId="7586"/>
    <cellStyle name="20% - Accent5 20 5" xfId="5646"/>
    <cellStyle name="20% - Accent5 21" xfId="323"/>
    <cellStyle name="20% - Accent5 21 2" xfId="800"/>
    <cellStyle name="20% - Accent5 21 2 2" xfId="3881"/>
    <cellStyle name="20% - Accent5 21 2 2 2" xfId="9214"/>
    <cellStyle name="20% - Accent5 21 2 3" xfId="2255"/>
    <cellStyle name="20% - Accent5 21 2 3 2" xfId="7589"/>
    <cellStyle name="20% - Accent5 21 2 4" xfId="6136"/>
    <cellStyle name="20% - Accent5 21 3" xfId="3882"/>
    <cellStyle name="20% - Accent5 21 3 2" xfId="9215"/>
    <cellStyle name="20% - Accent5 21 4" xfId="2254"/>
    <cellStyle name="20% - Accent5 21 4 2" xfId="7588"/>
    <cellStyle name="20% - Accent5 21 5" xfId="5660"/>
    <cellStyle name="20% - Accent5 22" xfId="337"/>
    <cellStyle name="20% - Accent5 22 2" xfId="814"/>
    <cellStyle name="20% - Accent5 22 2 2" xfId="3883"/>
    <cellStyle name="20% - Accent5 22 2 2 2" xfId="9216"/>
    <cellStyle name="20% - Accent5 22 2 3" xfId="2257"/>
    <cellStyle name="20% - Accent5 22 2 3 2" xfId="7591"/>
    <cellStyle name="20% - Accent5 22 2 4" xfId="6150"/>
    <cellStyle name="20% - Accent5 22 3" xfId="3884"/>
    <cellStyle name="20% - Accent5 22 3 2" xfId="9217"/>
    <cellStyle name="20% - Accent5 22 4" xfId="2256"/>
    <cellStyle name="20% - Accent5 22 4 2" xfId="7590"/>
    <cellStyle name="20% - Accent5 22 5" xfId="5674"/>
    <cellStyle name="20% - Accent5 23" xfId="351"/>
    <cellStyle name="20% - Accent5 23 2" xfId="828"/>
    <cellStyle name="20% - Accent5 23 2 2" xfId="3885"/>
    <cellStyle name="20% - Accent5 23 2 2 2" xfId="9218"/>
    <cellStyle name="20% - Accent5 23 2 3" xfId="2259"/>
    <cellStyle name="20% - Accent5 23 2 3 2" xfId="7593"/>
    <cellStyle name="20% - Accent5 23 2 4" xfId="6164"/>
    <cellStyle name="20% - Accent5 23 3" xfId="3886"/>
    <cellStyle name="20% - Accent5 23 3 2" xfId="9219"/>
    <cellStyle name="20% - Accent5 23 4" xfId="2258"/>
    <cellStyle name="20% - Accent5 23 4 2" xfId="7592"/>
    <cellStyle name="20% - Accent5 23 5" xfId="5688"/>
    <cellStyle name="20% - Accent5 24" xfId="365"/>
    <cellStyle name="20% - Accent5 24 2" xfId="842"/>
    <cellStyle name="20% - Accent5 24 2 2" xfId="3887"/>
    <cellStyle name="20% - Accent5 24 2 2 2" xfId="9220"/>
    <cellStyle name="20% - Accent5 24 2 3" xfId="2261"/>
    <cellStyle name="20% - Accent5 24 2 3 2" xfId="7595"/>
    <cellStyle name="20% - Accent5 24 2 4" xfId="6178"/>
    <cellStyle name="20% - Accent5 24 3" xfId="3888"/>
    <cellStyle name="20% - Accent5 24 3 2" xfId="9221"/>
    <cellStyle name="20% - Accent5 24 4" xfId="2260"/>
    <cellStyle name="20% - Accent5 24 4 2" xfId="7594"/>
    <cellStyle name="20% - Accent5 24 5" xfId="5702"/>
    <cellStyle name="20% - Accent5 25" xfId="379"/>
    <cellStyle name="20% - Accent5 25 2" xfId="856"/>
    <cellStyle name="20% - Accent5 25 2 2" xfId="3889"/>
    <cellStyle name="20% - Accent5 25 2 2 2" xfId="9222"/>
    <cellStyle name="20% - Accent5 25 2 3" xfId="2263"/>
    <cellStyle name="20% - Accent5 25 2 3 2" xfId="7597"/>
    <cellStyle name="20% - Accent5 25 2 4" xfId="6192"/>
    <cellStyle name="20% - Accent5 25 3" xfId="3890"/>
    <cellStyle name="20% - Accent5 25 3 2" xfId="9223"/>
    <cellStyle name="20% - Accent5 25 4" xfId="2262"/>
    <cellStyle name="20% - Accent5 25 4 2" xfId="7596"/>
    <cellStyle name="20% - Accent5 25 5" xfId="5716"/>
    <cellStyle name="20% - Accent5 26" xfId="393"/>
    <cellStyle name="20% - Accent5 26 2" xfId="870"/>
    <cellStyle name="20% - Accent5 26 2 2" xfId="3891"/>
    <cellStyle name="20% - Accent5 26 2 2 2" xfId="9224"/>
    <cellStyle name="20% - Accent5 26 2 3" xfId="2265"/>
    <cellStyle name="20% - Accent5 26 2 3 2" xfId="7599"/>
    <cellStyle name="20% - Accent5 26 2 4" xfId="6206"/>
    <cellStyle name="20% - Accent5 26 3" xfId="3892"/>
    <cellStyle name="20% - Accent5 26 3 2" xfId="9225"/>
    <cellStyle name="20% - Accent5 26 4" xfId="2264"/>
    <cellStyle name="20% - Accent5 26 4 2" xfId="7598"/>
    <cellStyle name="20% - Accent5 26 5" xfId="5730"/>
    <cellStyle name="20% - Accent5 27" xfId="407"/>
    <cellStyle name="20% - Accent5 27 2" xfId="884"/>
    <cellStyle name="20% - Accent5 27 2 2" xfId="3893"/>
    <cellStyle name="20% - Accent5 27 2 2 2" xfId="9226"/>
    <cellStyle name="20% - Accent5 27 2 3" xfId="2267"/>
    <cellStyle name="20% - Accent5 27 2 3 2" xfId="7601"/>
    <cellStyle name="20% - Accent5 27 2 4" xfId="6220"/>
    <cellStyle name="20% - Accent5 27 3" xfId="3894"/>
    <cellStyle name="20% - Accent5 27 3 2" xfId="9227"/>
    <cellStyle name="20% - Accent5 27 4" xfId="2266"/>
    <cellStyle name="20% - Accent5 27 4 2" xfId="7600"/>
    <cellStyle name="20% - Accent5 27 5" xfId="5744"/>
    <cellStyle name="20% - Accent5 28" xfId="421"/>
    <cellStyle name="20% - Accent5 28 2" xfId="898"/>
    <cellStyle name="20% - Accent5 28 2 2" xfId="3895"/>
    <cellStyle name="20% - Accent5 28 2 2 2" xfId="9228"/>
    <cellStyle name="20% - Accent5 28 2 3" xfId="2269"/>
    <cellStyle name="20% - Accent5 28 2 3 2" xfId="7603"/>
    <cellStyle name="20% - Accent5 28 2 4" xfId="6234"/>
    <cellStyle name="20% - Accent5 28 3" xfId="3896"/>
    <cellStyle name="20% - Accent5 28 3 2" xfId="9229"/>
    <cellStyle name="20% - Accent5 28 4" xfId="2268"/>
    <cellStyle name="20% - Accent5 28 4 2" xfId="7602"/>
    <cellStyle name="20% - Accent5 28 5" xfId="5758"/>
    <cellStyle name="20% - Accent5 29" xfId="435"/>
    <cellStyle name="20% - Accent5 29 2" xfId="912"/>
    <cellStyle name="20% - Accent5 29 2 2" xfId="3897"/>
    <cellStyle name="20% - Accent5 29 2 2 2" xfId="9230"/>
    <cellStyle name="20% - Accent5 29 2 3" xfId="2271"/>
    <cellStyle name="20% - Accent5 29 2 3 2" xfId="7605"/>
    <cellStyle name="20% - Accent5 29 2 4" xfId="6248"/>
    <cellStyle name="20% - Accent5 29 3" xfId="3898"/>
    <cellStyle name="20% - Accent5 29 3 2" xfId="9231"/>
    <cellStyle name="20% - Accent5 29 4" xfId="2270"/>
    <cellStyle name="20% - Accent5 29 4 2" xfId="7604"/>
    <cellStyle name="20% - Accent5 29 5" xfId="5772"/>
    <cellStyle name="20% - Accent5 3" xfId="70"/>
    <cellStyle name="20% - Accent5 3 2" xfId="547"/>
    <cellStyle name="20% - Accent5 3 2 2" xfId="3899"/>
    <cellStyle name="20% - Accent5 3 2 2 2" xfId="9232"/>
    <cellStyle name="20% - Accent5 3 2 3" xfId="2273"/>
    <cellStyle name="20% - Accent5 3 2 3 2" xfId="7607"/>
    <cellStyle name="20% - Accent5 3 2 4" xfId="5884"/>
    <cellStyle name="20% - Accent5 3 3" xfId="3900"/>
    <cellStyle name="20% - Accent5 3 3 2" xfId="9233"/>
    <cellStyle name="20% - Accent5 3 4" xfId="2272"/>
    <cellStyle name="20% - Accent5 3 4 2" xfId="7606"/>
    <cellStyle name="20% - Accent5 3 5" xfId="5408"/>
    <cellStyle name="20% - Accent5 30" xfId="449"/>
    <cellStyle name="20% - Accent5 30 2" xfId="926"/>
    <cellStyle name="20% - Accent5 30 2 2" xfId="3901"/>
    <cellStyle name="20% - Accent5 30 2 2 2" xfId="9234"/>
    <cellStyle name="20% - Accent5 30 2 3" xfId="2275"/>
    <cellStyle name="20% - Accent5 30 2 3 2" xfId="7609"/>
    <cellStyle name="20% - Accent5 30 2 4" xfId="6262"/>
    <cellStyle name="20% - Accent5 30 3" xfId="3902"/>
    <cellStyle name="20% - Accent5 30 3 2" xfId="9235"/>
    <cellStyle name="20% - Accent5 30 4" xfId="2274"/>
    <cellStyle name="20% - Accent5 30 4 2" xfId="7608"/>
    <cellStyle name="20% - Accent5 30 5" xfId="5786"/>
    <cellStyle name="20% - Accent5 31" xfId="463"/>
    <cellStyle name="20% - Accent5 31 2" xfId="940"/>
    <cellStyle name="20% - Accent5 31 2 2" xfId="3903"/>
    <cellStyle name="20% - Accent5 31 2 2 2" xfId="9236"/>
    <cellStyle name="20% - Accent5 31 2 3" xfId="2277"/>
    <cellStyle name="20% - Accent5 31 2 3 2" xfId="7611"/>
    <cellStyle name="20% - Accent5 31 2 4" xfId="6276"/>
    <cellStyle name="20% - Accent5 31 3" xfId="3904"/>
    <cellStyle name="20% - Accent5 31 3 2" xfId="9237"/>
    <cellStyle name="20% - Accent5 31 4" xfId="2276"/>
    <cellStyle name="20% - Accent5 31 4 2" xfId="7610"/>
    <cellStyle name="20% - Accent5 31 5" xfId="5800"/>
    <cellStyle name="20% - Accent5 32" xfId="477"/>
    <cellStyle name="20% - Accent5 32 2" xfId="954"/>
    <cellStyle name="20% - Accent5 32 2 2" xfId="3905"/>
    <cellStyle name="20% - Accent5 32 2 2 2" xfId="9238"/>
    <cellStyle name="20% - Accent5 32 2 3" xfId="2279"/>
    <cellStyle name="20% - Accent5 32 2 3 2" xfId="7613"/>
    <cellStyle name="20% - Accent5 32 2 4" xfId="6290"/>
    <cellStyle name="20% - Accent5 32 3" xfId="3906"/>
    <cellStyle name="20% - Accent5 32 3 2" xfId="9239"/>
    <cellStyle name="20% - Accent5 32 4" xfId="2278"/>
    <cellStyle name="20% - Accent5 32 4 2" xfId="7612"/>
    <cellStyle name="20% - Accent5 32 5" xfId="5814"/>
    <cellStyle name="20% - Accent5 33" xfId="491"/>
    <cellStyle name="20% - Accent5 33 2" xfId="968"/>
    <cellStyle name="20% - Accent5 33 2 2" xfId="3907"/>
    <cellStyle name="20% - Accent5 33 2 2 2" xfId="9240"/>
    <cellStyle name="20% - Accent5 33 2 3" xfId="2281"/>
    <cellStyle name="20% - Accent5 33 2 3 2" xfId="7615"/>
    <cellStyle name="20% - Accent5 33 2 4" xfId="6304"/>
    <cellStyle name="20% - Accent5 33 3" xfId="3908"/>
    <cellStyle name="20% - Accent5 33 3 2" xfId="9241"/>
    <cellStyle name="20% - Accent5 33 4" xfId="2280"/>
    <cellStyle name="20% - Accent5 33 4 2" xfId="7614"/>
    <cellStyle name="20% - Accent5 33 5" xfId="5828"/>
    <cellStyle name="20% - Accent5 34" xfId="505"/>
    <cellStyle name="20% - Accent5 34 2" xfId="982"/>
    <cellStyle name="20% - Accent5 34 2 2" xfId="3909"/>
    <cellStyle name="20% - Accent5 34 2 2 2" xfId="9242"/>
    <cellStyle name="20% - Accent5 34 2 3" xfId="2283"/>
    <cellStyle name="20% - Accent5 34 2 3 2" xfId="7617"/>
    <cellStyle name="20% - Accent5 34 2 4" xfId="6318"/>
    <cellStyle name="20% - Accent5 34 3" xfId="3910"/>
    <cellStyle name="20% - Accent5 34 3 2" xfId="9243"/>
    <cellStyle name="20% - Accent5 34 4" xfId="2282"/>
    <cellStyle name="20% - Accent5 34 4 2" xfId="7616"/>
    <cellStyle name="20% - Accent5 34 5" xfId="5842"/>
    <cellStyle name="20% - Accent5 35" xfId="996"/>
    <cellStyle name="20% - Accent5 35 2" xfId="3911"/>
    <cellStyle name="20% - Accent5 35 2 2" xfId="9244"/>
    <cellStyle name="20% - Accent5 35 3" xfId="2284"/>
    <cellStyle name="20% - Accent5 35 3 2" xfId="7618"/>
    <cellStyle name="20% - Accent5 35 4" xfId="6332"/>
    <cellStyle name="20% - Accent5 36" xfId="1010"/>
    <cellStyle name="20% - Accent5 36 2" xfId="3912"/>
    <cellStyle name="20% - Accent5 36 2 2" xfId="9245"/>
    <cellStyle name="20% - Accent5 36 3" xfId="2285"/>
    <cellStyle name="20% - Accent5 36 3 2" xfId="7619"/>
    <cellStyle name="20% - Accent5 36 4" xfId="6346"/>
    <cellStyle name="20% - Accent5 37" xfId="1024"/>
    <cellStyle name="20% - Accent5 37 2" xfId="3913"/>
    <cellStyle name="20% - Accent5 37 2 2" xfId="9246"/>
    <cellStyle name="20% - Accent5 37 3" xfId="2286"/>
    <cellStyle name="20% - Accent5 37 3 2" xfId="7620"/>
    <cellStyle name="20% - Accent5 37 4" xfId="6360"/>
    <cellStyle name="20% - Accent5 38" xfId="513"/>
    <cellStyle name="20% - Accent5 38 2" xfId="3914"/>
    <cellStyle name="20% - Accent5 38 2 2" xfId="9247"/>
    <cellStyle name="20% - Accent5 38 3" xfId="2287"/>
    <cellStyle name="20% - Accent5 38 3 2" xfId="7621"/>
    <cellStyle name="20% - Accent5 38 4" xfId="5850"/>
    <cellStyle name="20% - Accent5 39" xfId="1038"/>
    <cellStyle name="20% - Accent5 39 2" xfId="3915"/>
    <cellStyle name="20% - Accent5 39 2 2" xfId="9248"/>
    <cellStyle name="20% - Accent5 39 3" xfId="3074"/>
    <cellStyle name="20% - Accent5 39 3 2" xfId="8408"/>
    <cellStyle name="20% - Accent5 39 4" xfId="6374"/>
    <cellStyle name="20% - Accent5 4" xfId="84"/>
    <cellStyle name="20% - Accent5 4 2" xfId="561"/>
    <cellStyle name="20% - Accent5 4 2 2" xfId="3916"/>
    <cellStyle name="20% - Accent5 4 2 2 2" xfId="9249"/>
    <cellStyle name="20% - Accent5 4 2 3" xfId="2289"/>
    <cellStyle name="20% - Accent5 4 2 3 2" xfId="7623"/>
    <cellStyle name="20% - Accent5 4 2 4" xfId="5898"/>
    <cellStyle name="20% - Accent5 4 3" xfId="3917"/>
    <cellStyle name="20% - Accent5 4 3 2" xfId="9250"/>
    <cellStyle name="20% - Accent5 4 4" xfId="2288"/>
    <cellStyle name="20% - Accent5 4 4 2" xfId="7622"/>
    <cellStyle name="20% - Accent5 4 5" xfId="5422"/>
    <cellStyle name="20% - Accent5 40" xfId="1052"/>
    <cellStyle name="20% - Accent5 40 2" xfId="3918"/>
    <cellStyle name="20% - Accent5 40 2 2" xfId="9251"/>
    <cellStyle name="20% - Accent5 40 3" xfId="3075"/>
    <cellStyle name="20% - Accent5 40 3 2" xfId="8409"/>
    <cellStyle name="20% - Accent5 40 4" xfId="6388"/>
    <cellStyle name="20% - Accent5 41" xfId="1066"/>
    <cellStyle name="20% - Accent5 41 2" xfId="3919"/>
    <cellStyle name="20% - Accent5 41 2 2" xfId="9252"/>
    <cellStyle name="20% - Accent5 41 3" xfId="3076"/>
    <cellStyle name="20% - Accent5 41 3 2" xfId="8410"/>
    <cellStyle name="20% - Accent5 41 4" xfId="6402"/>
    <cellStyle name="20% - Accent5 42" xfId="1080"/>
    <cellStyle name="20% - Accent5 42 2" xfId="3920"/>
    <cellStyle name="20% - Accent5 42 2 2" xfId="9253"/>
    <cellStyle name="20% - Accent5 42 3" xfId="3077"/>
    <cellStyle name="20% - Accent5 42 3 2" xfId="8411"/>
    <cellStyle name="20% - Accent5 42 4" xfId="6416"/>
    <cellStyle name="20% - Accent5 43" xfId="1094"/>
    <cellStyle name="20% - Accent5 43 2" xfId="3921"/>
    <cellStyle name="20% - Accent5 43 2 2" xfId="9254"/>
    <cellStyle name="20% - Accent5 43 3" xfId="3078"/>
    <cellStyle name="20% - Accent5 43 3 2" xfId="8412"/>
    <cellStyle name="20% - Accent5 43 4" xfId="6430"/>
    <cellStyle name="20% - Accent5 44" xfId="1108"/>
    <cellStyle name="20% - Accent5 44 2" xfId="3922"/>
    <cellStyle name="20% - Accent5 44 2 2" xfId="9255"/>
    <cellStyle name="20% - Accent5 44 3" xfId="3079"/>
    <cellStyle name="20% - Accent5 44 3 2" xfId="8413"/>
    <cellStyle name="20% - Accent5 44 4" xfId="6444"/>
    <cellStyle name="20% - Accent5 45" xfId="1122"/>
    <cellStyle name="20% - Accent5 45 2" xfId="3923"/>
    <cellStyle name="20% - Accent5 45 2 2" xfId="9256"/>
    <cellStyle name="20% - Accent5 45 3" xfId="3080"/>
    <cellStyle name="20% - Accent5 45 3 2" xfId="8414"/>
    <cellStyle name="20% - Accent5 45 4" xfId="6458"/>
    <cellStyle name="20% - Accent5 46" xfId="1136"/>
    <cellStyle name="20% - Accent5 46 2" xfId="3924"/>
    <cellStyle name="20% - Accent5 46 2 2" xfId="9257"/>
    <cellStyle name="20% - Accent5 46 3" xfId="3081"/>
    <cellStyle name="20% - Accent5 46 3 2" xfId="8415"/>
    <cellStyle name="20% - Accent5 46 4" xfId="6472"/>
    <cellStyle name="20% - Accent5 47" xfId="1150"/>
    <cellStyle name="20% - Accent5 47 2" xfId="3925"/>
    <cellStyle name="20% - Accent5 47 2 2" xfId="9258"/>
    <cellStyle name="20% - Accent5 47 3" xfId="3082"/>
    <cellStyle name="20% - Accent5 47 3 2" xfId="8416"/>
    <cellStyle name="20% - Accent5 47 4" xfId="6486"/>
    <cellStyle name="20% - Accent5 48" xfId="1164"/>
    <cellStyle name="20% - Accent5 48 2" xfId="3926"/>
    <cellStyle name="20% - Accent5 48 2 2" xfId="9259"/>
    <cellStyle name="20% - Accent5 48 3" xfId="3083"/>
    <cellStyle name="20% - Accent5 48 3 2" xfId="8417"/>
    <cellStyle name="20% - Accent5 48 4" xfId="6500"/>
    <cellStyle name="20% - Accent5 49" xfId="1178"/>
    <cellStyle name="20% - Accent5 49 2" xfId="3927"/>
    <cellStyle name="20% - Accent5 49 2 2" xfId="9260"/>
    <cellStyle name="20% - Accent5 49 3" xfId="3084"/>
    <cellStyle name="20% - Accent5 49 3 2" xfId="8418"/>
    <cellStyle name="20% - Accent5 49 4" xfId="6514"/>
    <cellStyle name="20% - Accent5 5" xfId="98"/>
    <cellStyle name="20% - Accent5 5 2" xfId="575"/>
    <cellStyle name="20% - Accent5 5 2 2" xfId="3928"/>
    <cellStyle name="20% - Accent5 5 2 2 2" xfId="9261"/>
    <cellStyle name="20% - Accent5 5 2 3" xfId="2291"/>
    <cellStyle name="20% - Accent5 5 2 3 2" xfId="7625"/>
    <cellStyle name="20% - Accent5 5 2 4" xfId="5912"/>
    <cellStyle name="20% - Accent5 5 3" xfId="3929"/>
    <cellStyle name="20% - Accent5 5 3 2" xfId="9262"/>
    <cellStyle name="20% - Accent5 5 4" xfId="2290"/>
    <cellStyle name="20% - Accent5 5 4 2" xfId="7624"/>
    <cellStyle name="20% - Accent5 5 5" xfId="5436"/>
    <cellStyle name="20% - Accent5 50" xfId="1192"/>
    <cellStyle name="20% - Accent5 50 2" xfId="3930"/>
    <cellStyle name="20% - Accent5 50 2 2" xfId="9263"/>
    <cellStyle name="20% - Accent5 50 3" xfId="3085"/>
    <cellStyle name="20% - Accent5 50 3 2" xfId="8419"/>
    <cellStyle name="20% - Accent5 50 4" xfId="6528"/>
    <cellStyle name="20% - Accent5 51" xfId="1206"/>
    <cellStyle name="20% - Accent5 51 2" xfId="3931"/>
    <cellStyle name="20% - Accent5 51 2 2" xfId="9264"/>
    <cellStyle name="20% - Accent5 51 3" xfId="3086"/>
    <cellStyle name="20% - Accent5 51 3 2" xfId="8420"/>
    <cellStyle name="20% - Accent5 51 4" xfId="6542"/>
    <cellStyle name="20% - Accent5 52" xfId="1220"/>
    <cellStyle name="20% - Accent5 52 2" xfId="3932"/>
    <cellStyle name="20% - Accent5 52 2 2" xfId="9265"/>
    <cellStyle name="20% - Accent5 52 3" xfId="3087"/>
    <cellStyle name="20% - Accent5 52 3 2" xfId="8421"/>
    <cellStyle name="20% - Accent5 52 4" xfId="6556"/>
    <cellStyle name="20% - Accent5 53" xfId="1234"/>
    <cellStyle name="20% - Accent5 53 2" xfId="3933"/>
    <cellStyle name="20% - Accent5 53 2 2" xfId="9266"/>
    <cellStyle name="20% - Accent5 53 3" xfId="3088"/>
    <cellStyle name="20% - Accent5 53 3 2" xfId="8422"/>
    <cellStyle name="20% - Accent5 53 4" xfId="6570"/>
    <cellStyle name="20% - Accent5 54" xfId="1248"/>
    <cellStyle name="20% - Accent5 54 2" xfId="3934"/>
    <cellStyle name="20% - Accent5 54 2 2" xfId="9267"/>
    <cellStyle name="20% - Accent5 54 3" xfId="3089"/>
    <cellStyle name="20% - Accent5 54 3 2" xfId="8423"/>
    <cellStyle name="20% - Accent5 54 4" xfId="6584"/>
    <cellStyle name="20% - Accent5 55" xfId="1262"/>
    <cellStyle name="20% - Accent5 55 2" xfId="3935"/>
    <cellStyle name="20% - Accent5 55 2 2" xfId="9268"/>
    <cellStyle name="20% - Accent5 55 3" xfId="3090"/>
    <cellStyle name="20% - Accent5 55 3 2" xfId="8424"/>
    <cellStyle name="20% - Accent5 55 4" xfId="6598"/>
    <cellStyle name="20% - Accent5 56" xfId="1276"/>
    <cellStyle name="20% - Accent5 56 2" xfId="3936"/>
    <cellStyle name="20% - Accent5 56 2 2" xfId="9269"/>
    <cellStyle name="20% - Accent5 56 3" xfId="3091"/>
    <cellStyle name="20% - Accent5 56 3 2" xfId="8425"/>
    <cellStyle name="20% - Accent5 56 4" xfId="6612"/>
    <cellStyle name="20% - Accent5 57" xfId="1290"/>
    <cellStyle name="20% - Accent5 57 2" xfId="3937"/>
    <cellStyle name="20% - Accent5 57 2 2" xfId="9270"/>
    <cellStyle name="20% - Accent5 57 3" xfId="3092"/>
    <cellStyle name="20% - Accent5 57 3 2" xfId="8426"/>
    <cellStyle name="20% - Accent5 57 4" xfId="6626"/>
    <cellStyle name="20% - Accent5 58" xfId="1304"/>
    <cellStyle name="20% - Accent5 58 2" xfId="3938"/>
    <cellStyle name="20% - Accent5 58 2 2" xfId="9271"/>
    <cellStyle name="20% - Accent5 58 3" xfId="3093"/>
    <cellStyle name="20% - Accent5 58 3 2" xfId="8427"/>
    <cellStyle name="20% - Accent5 58 4" xfId="6640"/>
    <cellStyle name="20% - Accent5 59" xfId="1318"/>
    <cellStyle name="20% - Accent5 59 2" xfId="3939"/>
    <cellStyle name="20% - Accent5 59 2 2" xfId="9272"/>
    <cellStyle name="20% - Accent5 59 3" xfId="3094"/>
    <cellStyle name="20% - Accent5 59 3 2" xfId="8428"/>
    <cellStyle name="20% - Accent5 59 4" xfId="6654"/>
    <cellStyle name="20% - Accent5 6" xfId="112"/>
    <cellStyle name="20% - Accent5 6 2" xfId="589"/>
    <cellStyle name="20% - Accent5 6 2 2" xfId="3940"/>
    <cellStyle name="20% - Accent5 6 2 2 2" xfId="9273"/>
    <cellStyle name="20% - Accent5 6 2 3" xfId="2293"/>
    <cellStyle name="20% - Accent5 6 2 3 2" xfId="7627"/>
    <cellStyle name="20% - Accent5 6 2 4" xfId="5926"/>
    <cellStyle name="20% - Accent5 6 3" xfId="3941"/>
    <cellStyle name="20% - Accent5 6 3 2" xfId="9274"/>
    <cellStyle name="20% - Accent5 6 4" xfId="2292"/>
    <cellStyle name="20% - Accent5 6 4 2" xfId="7626"/>
    <cellStyle name="20% - Accent5 6 5" xfId="5450"/>
    <cellStyle name="20% - Accent5 60" xfId="1332"/>
    <cellStyle name="20% - Accent5 60 2" xfId="3942"/>
    <cellStyle name="20% - Accent5 60 2 2" xfId="9275"/>
    <cellStyle name="20% - Accent5 60 3" xfId="3095"/>
    <cellStyle name="20% - Accent5 60 3 2" xfId="8429"/>
    <cellStyle name="20% - Accent5 60 4" xfId="6668"/>
    <cellStyle name="20% - Accent5 61" xfId="1346"/>
    <cellStyle name="20% - Accent5 61 2" xfId="3943"/>
    <cellStyle name="20% - Accent5 61 2 2" xfId="9276"/>
    <cellStyle name="20% - Accent5 61 3" xfId="3096"/>
    <cellStyle name="20% - Accent5 61 3 2" xfId="8430"/>
    <cellStyle name="20% - Accent5 61 4" xfId="6682"/>
    <cellStyle name="20% - Accent5 62" xfId="1360"/>
    <cellStyle name="20% - Accent5 62 2" xfId="3097"/>
    <cellStyle name="20% - Accent5 62 2 2" xfId="8431"/>
    <cellStyle name="20% - Accent5 62 3" xfId="6696"/>
    <cellStyle name="20% - Accent5 63" xfId="1374"/>
    <cellStyle name="20% - Accent5 63 2" xfId="3098"/>
    <cellStyle name="20% - Accent5 63 2 2" xfId="8432"/>
    <cellStyle name="20% - Accent5 63 3" xfId="6710"/>
    <cellStyle name="20% - Accent5 64" xfId="1388"/>
    <cellStyle name="20% - Accent5 64 2" xfId="3099"/>
    <cellStyle name="20% - Accent5 64 2 2" xfId="8433"/>
    <cellStyle name="20% - Accent5 64 3" xfId="6724"/>
    <cellStyle name="20% - Accent5 65" xfId="1402"/>
    <cellStyle name="20% - Accent5 65 2" xfId="3100"/>
    <cellStyle name="20% - Accent5 65 2 2" xfId="8434"/>
    <cellStyle name="20% - Accent5 65 3" xfId="6738"/>
    <cellStyle name="20% - Accent5 66" xfId="1416"/>
    <cellStyle name="20% - Accent5 66 2" xfId="3101"/>
    <cellStyle name="20% - Accent5 66 2 2" xfId="8435"/>
    <cellStyle name="20% - Accent5 66 3" xfId="6752"/>
    <cellStyle name="20% - Accent5 67" xfId="1430"/>
    <cellStyle name="20% - Accent5 67 2" xfId="3102"/>
    <cellStyle name="20% - Accent5 67 2 2" xfId="8436"/>
    <cellStyle name="20% - Accent5 67 3" xfId="6766"/>
    <cellStyle name="20% - Accent5 68" xfId="1444"/>
    <cellStyle name="20% - Accent5 68 2" xfId="3103"/>
    <cellStyle name="20% - Accent5 68 2 2" xfId="8437"/>
    <cellStyle name="20% - Accent5 68 3" xfId="6780"/>
    <cellStyle name="20% - Accent5 69" xfId="1458"/>
    <cellStyle name="20% - Accent5 69 2" xfId="3104"/>
    <cellStyle name="20% - Accent5 69 2 2" xfId="8438"/>
    <cellStyle name="20% - Accent5 69 3" xfId="6794"/>
    <cellStyle name="20% - Accent5 7" xfId="126"/>
    <cellStyle name="20% - Accent5 7 2" xfId="603"/>
    <cellStyle name="20% - Accent5 7 2 2" xfId="3944"/>
    <cellStyle name="20% - Accent5 7 2 2 2" xfId="9277"/>
    <cellStyle name="20% - Accent5 7 2 3" xfId="2295"/>
    <cellStyle name="20% - Accent5 7 2 3 2" xfId="7629"/>
    <cellStyle name="20% - Accent5 7 2 4" xfId="5940"/>
    <cellStyle name="20% - Accent5 7 3" xfId="3945"/>
    <cellStyle name="20% - Accent5 7 3 2" xfId="9278"/>
    <cellStyle name="20% - Accent5 7 4" xfId="2294"/>
    <cellStyle name="20% - Accent5 7 4 2" xfId="7628"/>
    <cellStyle name="20% - Accent5 7 5" xfId="5464"/>
    <cellStyle name="20% - Accent5 70" xfId="1472"/>
    <cellStyle name="20% - Accent5 70 2" xfId="3105"/>
    <cellStyle name="20% - Accent5 70 2 2" xfId="8439"/>
    <cellStyle name="20% - Accent5 70 3" xfId="6808"/>
    <cellStyle name="20% - Accent5 71" xfId="1486"/>
    <cellStyle name="20% - Accent5 71 2" xfId="3106"/>
    <cellStyle name="20% - Accent5 71 2 2" xfId="8440"/>
    <cellStyle name="20% - Accent5 71 3" xfId="6822"/>
    <cellStyle name="20% - Accent5 72" xfId="1500"/>
    <cellStyle name="20% - Accent5 72 2" xfId="3107"/>
    <cellStyle name="20% - Accent5 72 2 2" xfId="8441"/>
    <cellStyle name="20% - Accent5 72 3" xfId="6836"/>
    <cellStyle name="20% - Accent5 73" xfId="1514"/>
    <cellStyle name="20% - Accent5 73 2" xfId="3108"/>
    <cellStyle name="20% - Accent5 73 2 2" xfId="8442"/>
    <cellStyle name="20% - Accent5 73 3" xfId="6850"/>
    <cellStyle name="20% - Accent5 74" xfId="1528"/>
    <cellStyle name="20% - Accent5 74 2" xfId="3109"/>
    <cellStyle name="20% - Accent5 74 2 2" xfId="8443"/>
    <cellStyle name="20% - Accent5 74 3" xfId="6864"/>
    <cellStyle name="20% - Accent5 75" xfId="1542"/>
    <cellStyle name="20% - Accent5 75 2" xfId="3110"/>
    <cellStyle name="20% - Accent5 75 2 2" xfId="8444"/>
    <cellStyle name="20% - Accent5 75 3" xfId="6878"/>
    <cellStyle name="20% - Accent5 76" xfId="1556"/>
    <cellStyle name="20% - Accent5 76 2" xfId="3448"/>
    <cellStyle name="20% - Accent5 76 2 2" xfId="8782"/>
    <cellStyle name="20% - Accent5 76 3" xfId="6892"/>
    <cellStyle name="20% - Accent5 77" xfId="1570"/>
    <cellStyle name="20% - Accent5 77 2" xfId="3449"/>
    <cellStyle name="20% - Accent5 77 2 2" xfId="8783"/>
    <cellStyle name="20% - Accent5 77 3" xfId="6906"/>
    <cellStyle name="20% - Accent5 78" xfId="1584"/>
    <cellStyle name="20% - Accent5 78 2" xfId="3450"/>
    <cellStyle name="20% - Accent5 78 2 2" xfId="8784"/>
    <cellStyle name="20% - Accent5 78 3" xfId="6920"/>
    <cellStyle name="20% - Accent5 79" xfId="1598"/>
    <cellStyle name="20% - Accent5 79 2" xfId="3451"/>
    <cellStyle name="20% - Accent5 79 2 2" xfId="8785"/>
    <cellStyle name="20% - Accent5 79 3" xfId="6934"/>
    <cellStyle name="20% - Accent5 8" xfId="140"/>
    <cellStyle name="20% - Accent5 8 2" xfId="617"/>
    <cellStyle name="20% - Accent5 8 2 2" xfId="3946"/>
    <cellStyle name="20% - Accent5 8 2 2 2" xfId="9279"/>
    <cellStyle name="20% - Accent5 8 2 3" xfId="2297"/>
    <cellStyle name="20% - Accent5 8 2 3 2" xfId="7631"/>
    <cellStyle name="20% - Accent5 8 2 4" xfId="5954"/>
    <cellStyle name="20% - Accent5 8 3" xfId="3947"/>
    <cellStyle name="20% - Accent5 8 3 2" xfId="9280"/>
    <cellStyle name="20% - Accent5 8 4" xfId="2296"/>
    <cellStyle name="20% - Accent5 8 4 2" xfId="7630"/>
    <cellStyle name="20% - Accent5 8 5" xfId="5478"/>
    <cellStyle name="20% - Accent5 80" xfId="1612"/>
    <cellStyle name="20% - Accent5 80 2" xfId="4814"/>
    <cellStyle name="20% - Accent5 80 2 2" xfId="10147"/>
    <cellStyle name="20% - Accent5 80 3" xfId="6948"/>
    <cellStyle name="20% - Accent5 81" xfId="1626"/>
    <cellStyle name="20% - Accent5 81 2" xfId="4815"/>
    <cellStyle name="20% - Accent5 81 2 2" xfId="10148"/>
    <cellStyle name="20% - Accent5 81 3" xfId="6962"/>
    <cellStyle name="20% - Accent5 82" xfId="1640"/>
    <cellStyle name="20% - Accent5 82 2" xfId="4816"/>
    <cellStyle name="20% - Accent5 82 2 2" xfId="10149"/>
    <cellStyle name="20% - Accent5 82 3" xfId="6976"/>
    <cellStyle name="20% - Accent5 83" xfId="1654"/>
    <cellStyle name="20% - Accent5 83 2" xfId="4817"/>
    <cellStyle name="20% - Accent5 83 2 2" xfId="10150"/>
    <cellStyle name="20% - Accent5 83 3" xfId="6990"/>
    <cellStyle name="20% - Accent5 84" xfId="1668"/>
    <cellStyle name="20% - Accent5 84 2" xfId="4818"/>
    <cellStyle name="20% - Accent5 84 2 2" xfId="10151"/>
    <cellStyle name="20% - Accent5 84 3" xfId="7004"/>
    <cellStyle name="20% - Accent5 85" xfId="1682"/>
    <cellStyle name="20% - Accent5 85 2" xfId="4874"/>
    <cellStyle name="20% - Accent5 85 2 2" xfId="10207"/>
    <cellStyle name="20% - Accent5 85 3" xfId="7018"/>
    <cellStyle name="20% - Accent5 86" xfId="1696"/>
    <cellStyle name="20% - Accent5 86 2" xfId="4875"/>
    <cellStyle name="20% - Accent5 86 2 2" xfId="10208"/>
    <cellStyle name="20% - Accent5 86 3" xfId="7032"/>
    <cellStyle name="20% - Accent5 87" xfId="1710"/>
    <cellStyle name="20% - Accent5 87 2" xfId="4876"/>
    <cellStyle name="20% - Accent5 87 2 2" xfId="10209"/>
    <cellStyle name="20% - Accent5 87 3" xfId="7046"/>
    <cellStyle name="20% - Accent5 88" xfId="1724"/>
    <cellStyle name="20% - Accent5 88 2" xfId="4930"/>
    <cellStyle name="20% - Accent5 88 2 2" xfId="10263"/>
    <cellStyle name="20% - Accent5 88 3" xfId="7060"/>
    <cellStyle name="20% - Accent5 89" xfId="1738"/>
    <cellStyle name="20% - Accent5 89 2" xfId="4931"/>
    <cellStyle name="20% - Accent5 89 2 2" xfId="10264"/>
    <cellStyle name="20% - Accent5 89 3" xfId="7074"/>
    <cellStyle name="20% - Accent5 9" xfId="154"/>
    <cellStyle name="20% - Accent5 9 2" xfId="631"/>
    <cellStyle name="20% - Accent5 9 2 2" xfId="3948"/>
    <cellStyle name="20% - Accent5 9 2 2 2" xfId="9281"/>
    <cellStyle name="20% - Accent5 9 2 3" xfId="2299"/>
    <cellStyle name="20% - Accent5 9 2 3 2" xfId="7633"/>
    <cellStyle name="20% - Accent5 9 2 4" xfId="5968"/>
    <cellStyle name="20% - Accent5 9 3" xfId="3949"/>
    <cellStyle name="20% - Accent5 9 3 2" xfId="9282"/>
    <cellStyle name="20% - Accent5 9 4" xfId="2298"/>
    <cellStyle name="20% - Accent5 9 4 2" xfId="7632"/>
    <cellStyle name="20% - Accent5 9 5" xfId="5492"/>
    <cellStyle name="20% - Accent5 90" xfId="1752"/>
    <cellStyle name="20% - Accent5 90 2" xfId="4932"/>
    <cellStyle name="20% - Accent5 90 2 2" xfId="10265"/>
    <cellStyle name="20% - Accent5 90 3" xfId="7088"/>
    <cellStyle name="20% - Accent5 91" xfId="1766"/>
    <cellStyle name="20% - Accent5 91 2" xfId="4933"/>
    <cellStyle name="20% - Accent5 91 2 2" xfId="10266"/>
    <cellStyle name="20% - Accent5 91 3" xfId="7102"/>
    <cellStyle name="20% - Accent5 92" xfId="1780"/>
    <cellStyle name="20% - Accent5 92 2" xfId="4934"/>
    <cellStyle name="20% - Accent5 92 2 2" xfId="10267"/>
    <cellStyle name="20% - Accent5 92 3" xfId="7116"/>
    <cellStyle name="20% - Accent5 93" xfId="1794"/>
    <cellStyle name="20% - Accent5 93 2" xfId="4935"/>
    <cellStyle name="20% - Accent5 93 2 2" xfId="10268"/>
    <cellStyle name="20% - Accent5 93 3" xfId="7130"/>
    <cellStyle name="20% - Accent5 94" xfId="1808"/>
    <cellStyle name="20% - Accent5 94 2" xfId="4997"/>
    <cellStyle name="20% - Accent5 94 2 2" xfId="10328"/>
    <cellStyle name="20% - Accent5 94 3" xfId="7144"/>
    <cellStyle name="20% - Accent5 95" xfId="1822"/>
    <cellStyle name="20% - Accent5 95 2" xfId="4998"/>
    <cellStyle name="20% - Accent5 95 2 2" xfId="10329"/>
    <cellStyle name="20% - Accent5 95 3" xfId="7158"/>
    <cellStyle name="20% - Accent5 96" xfId="1836"/>
    <cellStyle name="20% - Accent5 96 2" xfId="5034"/>
    <cellStyle name="20% - Accent5 96 2 2" xfId="10365"/>
    <cellStyle name="20% - Accent5 96 3" xfId="7172"/>
    <cellStyle name="20% - Accent5 97" xfId="1850"/>
    <cellStyle name="20% - Accent5 97 2" xfId="5035"/>
    <cellStyle name="20% - Accent5 97 2 2" xfId="10366"/>
    <cellStyle name="20% - Accent5 97 3" xfId="7186"/>
    <cellStyle name="20% - Accent5 98" xfId="1864"/>
    <cellStyle name="20% - Accent5 98 2" xfId="5036"/>
    <cellStyle name="20% - Accent5 98 2 2" xfId="10367"/>
    <cellStyle name="20% - Accent5 98 3" xfId="7200"/>
    <cellStyle name="20% - Accent5 99" xfId="1878"/>
    <cellStyle name="20% - Accent5 99 2" xfId="5037"/>
    <cellStyle name="20% - Accent5 99 2 2" xfId="10368"/>
    <cellStyle name="20% - Accent5 99 3" xfId="7214"/>
    <cellStyle name="20% - Accent6" xfId="6" builtinId="50" customBuiltin="1"/>
    <cellStyle name="20% - Accent6 10" xfId="170"/>
    <cellStyle name="20% - Accent6 10 2" xfId="647"/>
    <cellStyle name="20% - Accent6 10 2 2" xfId="3950"/>
    <cellStyle name="20% - Accent6 10 2 2 2" xfId="9283"/>
    <cellStyle name="20% - Accent6 10 2 3" xfId="2301"/>
    <cellStyle name="20% - Accent6 10 2 3 2" xfId="7635"/>
    <cellStyle name="20% - Accent6 10 2 4" xfId="5984"/>
    <cellStyle name="20% - Accent6 10 3" xfId="3951"/>
    <cellStyle name="20% - Accent6 10 3 2" xfId="9284"/>
    <cellStyle name="20% - Accent6 10 4" xfId="2300"/>
    <cellStyle name="20% - Accent6 10 4 2" xfId="7634"/>
    <cellStyle name="20% - Accent6 10 5" xfId="5508"/>
    <cellStyle name="20% - Accent6 100" xfId="1894"/>
    <cellStyle name="20% - Accent6 100 2" xfId="7230"/>
    <cellStyle name="20% - Accent6 101" xfId="1908"/>
    <cellStyle name="20% - Accent6 101 2" xfId="7244"/>
    <cellStyle name="20% - Accent6 102" xfId="1922"/>
    <cellStyle name="20% - Accent6 102 2" xfId="7258"/>
    <cellStyle name="20% - Accent6 103" xfId="5083"/>
    <cellStyle name="20% - Accent6 103 2" xfId="10414"/>
    <cellStyle name="20% - Accent6 104" xfId="5097"/>
    <cellStyle name="20% - Accent6 104 2" xfId="10428"/>
    <cellStyle name="20% - Accent6 105" xfId="5111"/>
    <cellStyle name="20% - Accent6 105 2" xfId="10442"/>
    <cellStyle name="20% - Accent6 106" xfId="5125"/>
    <cellStyle name="20% - Accent6 106 2" xfId="10456"/>
    <cellStyle name="20% - Accent6 107" xfId="5139"/>
    <cellStyle name="20% - Accent6 107 2" xfId="10470"/>
    <cellStyle name="20% - Accent6 108" xfId="5153"/>
    <cellStyle name="20% - Accent6 108 2" xfId="10484"/>
    <cellStyle name="20% - Accent6 109" xfId="5167"/>
    <cellStyle name="20% - Accent6 109 2" xfId="10498"/>
    <cellStyle name="20% - Accent6 11" xfId="184"/>
    <cellStyle name="20% - Accent6 11 2" xfId="661"/>
    <cellStyle name="20% - Accent6 11 2 2" xfId="3952"/>
    <cellStyle name="20% - Accent6 11 2 2 2" xfId="9285"/>
    <cellStyle name="20% - Accent6 11 2 3" xfId="2303"/>
    <cellStyle name="20% - Accent6 11 2 3 2" xfId="7637"/>
    <cellStyle name="20% - Accent6 11 2 4" xfId="5998"/>
    <cellStyle name="20% - Accent6 11 3" xfId="3953"/>
    <cellStyle name="20% - Accent6 11 3 2" xfId="9286"/>
    <cellStyle name="20% - Accent6 11 4" xfId="2302"/>
    <cellStyle name="20% - Accent6 11 4 2" xfId="7636"/>
    <cellStyle name="20% - Accent6 11 5" xfId="5522"/>
    <cellStyle name="20% - Accent6 110" xfId="5181"/>
    <cellStyle name="20% - Accent6 110 2" xfId="10512"/>
    <cellStyle name="20% - Accent6 111" xfId="5195"/>
    <cellStyle name="20% - Accent6 111 2" xfId="10526"/>
    <cellStyle name="20% - Accent6 112" xfId="5209"/>
    <cellStyle name="20% - Accent6 112 2" xfId="10540"/>
    <cellStyle name="20% - Accent6 113" xfId="5223"/>
    <cellStyle name="20% - Accent6 113 2" xfId="10554"/>
    <cellStyle name="20% - Accent6 114" xfId="5237"/>
    <cellStyle name="20% - Accent6 114 2" xfId="10568"/>
    <cellStyle name="20% - Accent6 115" xfId="5251"/>
    <cellStyle name="20% - Accent6 115 2" xfId="10582"/>
    <cellStyle name="20% - Accent6 116" xfId="5265"/>
    <cellStyle name="20% - Accent6 116 2" xfId="10596"/>
    <cellStyle name="20% - Accent6 117" xfId="5279"/>
    <cellStyle name="20% - Accent6 117 2" xfId="10610"/>
    <cellStyle name="20% - Accent6 118" xfId="5293"/>
    <cellStyle name="20% - Accent6 118 2" xfId="10624"/>
    <cellStyle name="20% - Accent6 119" xfId="5307"/>
    <cellStyle name="20% - Accent6 119 2" xfId="10638"/>
    <cellStyle name="20% - Accent6 12" xfId="198"/>
    <cellStyle name="20% - Accent6 12 2" xfId="675"/>
    <cellStyle name="20% - Accent6 12 2 2" xfId="3954"/>
    <cellStyle name="20% - Accent6 12 2 2 2" xfId="9287"/>
    <cellStyle name="20% - Accent6 12 2 3" xfId="2305"/>
    <cellStyle name="20% - Accent6 12 2 3 2" xfId="7639"/>
    <cellStyle name="20% - Accent6 12 2 4" xfId="6012"/>
    <cellStyle name="20% - Accent6 12 3" xfId="3955"/>
    <cellStyle name="20% - Accent6 12 3 2" xfId="9288"/>
    <cellStyle name="20% - Accent6 12 4" xfId="2304"/>
    <cellStyle name="20% - Accent6 12 4 2" xfId="7638"/>
    <cellStyle name="20% - Accent6 12 5" xfId="5536"/>
    <cellStyle name="20% - Accent6 120" xfId="5321"/>
    <cellStyle name="20% - Accent6 120 2" xfId="10652"/>
    <cellStyle name="20% - Accent6 121" xfId="5335"/>
    <cellStyle name="20% - Accent6 121 2" xfId="10666"/>
    <cellStyle name="20% - Accent6 122" xfId="5349"/>
    <cellStyle name="20% - Accent6 122 2" xfId="10680"/>
    <cellStyle name="20% - Accent6 123" xfId="5368"/>
    <cellStyle name="20% - Accent6 123 2" xfId="10697"/>
    <cellStyle name="20% - Accent6 124" xfId="10711"/>
    <cellStyle name="20% - Accent6 125" xfId="5375"/>
    <cellStyle name="20% - Accent6 126" xfId="10725"/>
    <cellStyle name="20% - Accent6 127" xfId="10739"/>
    <cellStyle name="20% - Accent6 128" xfId="10753"/>
    <cellStyle name="20% - Accent6 129" xfId="10767"/>
    <cellStyle name="20% - Accent6 13" xfId="212"/>
    <cellStyle name="20% - Accent6 13 2" xfId="689"/>
    <cellStyle name="20% - Accent6 13 2 2" xfId="3956"/>
    <cellStyle name="20% - Accent6 13 2 2 2" xfId="9289"/>
    <cellStyle name="20% - Accent6 13 2 3" xfId="2307"/>
    <cellStyle name="20% - Accent6 13 2 3 2" xfId="7641"/>
    <cellStyle name="20% - Accent6 13 2 4" xfId="6026"/>
    <cellStyle name="20% - Accent6 13 3" xfId="3957"/>
    <cellStyle name="20% - Accent6 13 3 2" xfId="9290"/>
    <cellStyle name="20% - Accent6 13 4" xfId="2306"/>
    <cellStyle name="20% - Accent6 13 4 2" xfId="7640"/>
    <cellStyle name="20% - Accent6 13 5" xfId="5550"/>
    <cellStyle name="20% - Accent6 130" xfId="10781"/>
    <cellStyle name="20% - Accent6 131" xfId="10796"/>
    <cellStyle name="20% - Accent6 132" xfId="10810"/>
    <cellStyle name="20% - Accent6 133" xfId="10824"/>
    <cellStyle name="20% - Accent6 134" xfId="10838"/>
    <cellStyle name="20% - Accent6 135" xfId="10852"/>
    <cellStyle name="20% - Accent6 136" xfId="10866"/>
    <cellStyle name="20% - Accent6 137" xfId="10880"/>
    <cellStyle name="20% - Accent6 138" xfId="10894"/>
    <cellStyle name="20% - Accent6 139" xfId="10908"/>
    <cellStyle name="20% - Accent6 14" xfId="226"/>
    <cellStyle name="20% - Accent6 14 2" xfId="703"/>
    <cellStyle name="20% - Accent6 14 2 2" xfId="3958"/>
    <cellStyle name="20% - Accent6 14 2 2 2" xfId="9291"/>
    <cellStyle name="20% - Accent6 14 2 3" xfId="2309"/>
    <cellStyle name="20% - Accent6 14 2 3 2" xfId="7643"/>
    <cellStyle name="20% - Accent6 14 2 4" xfId="6040"/>
    <cellStyle name="20% - Accent6 14 3" xfId="3959"/>
    <cellStyle name="20% - Accent6 14 3 2" xfId="9292"/>
    <cellStyle name="20% - Accent6 14 4" xfId="2308"/>
    <cellStyle name="20% - Accent6 14 4 2" xfId="7642"/>
    <cellStyle name="20% - Accent6 14 5" xfId="5564"/>
    <cellStyle name="20% - Accent6 140" xfId="10922"/>
    <cellStyle name="20% - Accent6 141" xfId="10936"/>
    <cellStyle name="20% - Accent6 142" xfId="10950"/>
    <cellStyle name="20% - Accent6 143" xfId="10964"/>
    <cellStyle name="20% - Accent6 144" xfId="10978"/>
    <cellStyle name="20% - Accent6 145" xfId="10992"/>
    <cellStyle name="20% - Accent6 146" xfId="11006"/>
    <cellStyle name="20% - Accent6 147" xfId="11020"/>
    <cellStyle name="20% - Accent6 148" xfId="11034"/>
    <cellStyle name="20% - Accent6 149" xfId="11048"/>
    <cellStyle name="20% - Accent6 15" xfId="240"/>
    <cellStyle name="20% - Accent6 15 2" xfId="717"/>
    <cellStyle name="20% - Accent6 15 2 2" xfId="3960"/>
    <cellStyle name="20% - Accent6 15 2 2 2" xfId="9293"/>
    <cellStyle name="20% - Accent6 15 2 3" xfId="2311"/>
    <cellStyle name="20% - Accent6 15 2 3 2" xfId="7645"/>
    <cellStyle name="20% - Accent6 15 2 4" xfId="6054"/>
    <cellStyle name="20% - Accent6 15 3" xfId="3961"/>
    <cellStyle name="20% - Accent6 15 3 2" xfId="9294"/>
    <cellStyle name="20% - Accent6 15 4" xfId="2310"/>
    <cellStyle name="20% - Accent6 15 4 2" xfId="7644"/>
    <cellStyle name="20% - Accent6 15 5" xfId="5578"/>
    <cellStyle name="20% - Accent6 150" xfId="11062"/>
    <cellStyle name="20% - Accent6 16" xfId="254"/>
    <cellStyle name="20% - Accent6 16 2" xfId="731"/>
    <cellStyle name="20% - Accent6 16 2 2" xfId="3962"/>
    <cellStyle name="20% - Accent6 16 2 2 2" xfId="9295"/>
    <cellStyle name="20% - Accent6 16 2 3" xfId="2313"/>
    <cellStyle name="20% - Accent6 16 2 3 2" xfId="7647"/>
    <cellStyle name="20% - Accent6 16 2 4" xfId="6068"/>
    <cellStyle name="20% - Accent6 16 3" xfId="3963"/>
    <cellStyle name="20% - Accent6 16 3 2" xfId="9296"/>
    <cellStyle name="20% - Accent6 16 4" xfId="2312"/>
    <cellStyle name="20% - Accent6 16 4 2" xfId="7646"/>
    <cellStyle name="20% - Accent6 16 5" xfId="5592"/>
    <cellStyle name="20% - Accent6 17" xfId="268"/>
    <cellStyle name="20% - Accent6 17 2" xfId="745"/>
    <cellStyle name="20% - Accent6 17 2 2" xfId="3964"/>
    <cellStyle name="20% - Accent6 17 2 2 2" xfId="9297"/>
    <cellStyle name="20% - Accent6 17 2 3" xfId="2315"/>
    <cellStyle name="20% - Accent6 17 2 3 2" xfId="7649"/>
    <cellStyle name="20% - Accent6 17 2 4" xfId="6082"/>
    <cellStyle name="20% - Accent6 17 3" xfId="3965"/>
    <cellStyle name="20% - Accent6 17 3 2" xfId="9298"/>
    <cellStyle name="20% - Accent6 17 4" xfId="2314"/>
    <cellStyle name="20% - Accent6 17 4 2" xfId="7648"/>
    <cellStyle name="20% - Accent6 17 5" xfId="5606"/>
    <cellStyle name="20% - Accent6 18" xfId="282"/>
    <cellStyle name="20% - Accent6 18 2" xfId="759"/>
    <cellStyle name="20% - Accent6 18 2 2" xfId="3966"/>
    <cellStyle name="20% - Accent6 18 2 2 2" xfId="9299"/>
    <cellStyle name="20% - Accent6 18 2 3" xfId="2317"/>
    <cellStyle name="20% - Accent6 18 2 3 2" xfId="7651"/>
    <cellStyle name="20% - Accent6 18 2 4" xfId="6096"/>
    <cellStyle name="20% - Accent6 18 3" xfId="3967"/>
    <cellStyle name="20% - Accent6 18 3 2" xfId="9300"/>
    <cellStyle name="20% - Accent6 18 4" xfId="2316"/>
    <cellStyle name="20% - Accent6 18 4 2" xfId="7650"/>
    <cellStyle name="20% - Accent6 18 5" xfId="5620"/>
    <cellStyle name="20% - Accent6 19" xfId="296"/>
    <cellStyle name="20% - Accent6 19 2" xfId="773"/>
    <cellStyle name="20% - Accent6 19 2 2" xfId="3968"/>
    <cellStyle name="20% - Accent6 19 2 2 2" xfId="9301"/>
    <cellStyle name="20% - Accent6 19 2 3" xfId="2319"/>
    <cellStyle name="20% - Accent6 19 2 3 2" xfId="7653"/>
    <cellStyle name="20% - Accent6 19 2 4" xfId="6110"/>
    <cellStyle name="20% - Accent6 19 3" xfId="3969"/>
    <cellStyle name="20% - Accent6 19 3 2" xfId="9302"/>
    <cellStyle name="20% - Accent6 19 4" xfId="2318"/>
    <cellStyle name="20% - Accent6 19 4 2" xfId="7652"/>
    <cellStyle name="20% - Accent6 19 5" xfId="5634"/>
    <cellStyle name="20% - Accent6 2" xfId="58"/>
    <cellStyle name="20% - Accent6 2 2" xfId="535"/>
    <cellStyle name="20% - Accent6 2 2 2" xfId="3970"/>
    <cellStyle name="20% - Accent6 2 2 2 2" xfId="9303"/>
    <cellStyle name="20% - Accent6 2 2 3" xfId="2321"/>
    <cellStyle name="20% - Accent6 2 2 3 2" xfId="7655"/>
    <cellStyle name="20% - Accent6 2 2 4" xfId="5872"/>
    <cellStyle name="20% - Accent6 2 3" xfId="3971"/>
    <cellStyle name="20% - Accent6 2 3 2" xfId="9304"/>
    <cellStyle name="20% - Accent6 2 4" xfId="2320"/>
    <cellStyle name="20% - Accent6 2 4 2" xfId="7654"/>
    <cellStyle name="20% - Accent6 2 5" xfId="5396"/>
    <cellStyle name="20% - Accent6 20" xfId="310"/>
    <cellStyle name="20% - Accent6 20 2" xfId="787"/>
    <cellStyle name="20% - Accent6 20 2 2" xfId="3972"/>
    <cellStyle name="20% - Accent6 20 2 2 2" xfId="9305"/>
    <cellStyle name="20% - Accent6 20 2 3" xfId="2323"/>
    <cellStyle name="20% - Accent6 20 2 3 2" xfId="7657"/>
    <cellStyle name="20% - Accent6 20 2 4" xfId="6124"/>
    <cellStyle name="20% - Accent6 20 3" xfId="3973"/>
    <cellStyle name="20% - Accent6 20 3 2" xfId="9306"/>
    <cellStyle name="20% - Accent6 20 4" xfId="2322"/>
    <cellStyle name="20% - Accent6 20 4 2" xfId="7656"/>
    <cellStyle name="20% - Accent6 20 5" xfId="5648"/>
    <cellStyle name="20% - Accent6 21" xfId="325"/>
    <cellStyle name="20% - Accent6 21 2" xfId="802"/>
    <cellStyle name="20% - Accent6 21 2 2" xfId="3974"/>
    <cellStyle name="20% - Accent6 21 2 2 2" xfId="9307"/>
    <cellStyle name="20% - Accent6 21 2 3" xfId="2325"/>
    <cellStyle name="20% - Accent6 21 2 3 2" xfId="7659"/>
    <cellStyle name="20% - Accent6 21 2 4" xfId="6138"/>
    <cellStyle name="20% - Accent6 21 3" xfId="3975"/>
    <cellStyle name="20% - Accent6 21 3 2" xfId="9308"/>
    <cellStyle name="20% - Accent6 21 4" xfId="2324"/>
    <cellStyle name="20% - Accent6 21 4 2" xfId="7658"/>
    <cellStyle name="20% - Accent6 21 5" xfId="5662"/>
    <cellStyle name="20% - Accent6 22" xfId="339"/>
    <cellStyle name="20% - Accent6 22 2" xfId="816"/>
    <cellStyle name="20% - Accent6 22 2 2" xfId="3976"/>
    <cellStyle name="20% - Accent6 22 2 2 2" xfId="9309"/>
    <cellStyle name="20% - Accent6 22 2 3" xfId="2327"/>
    <cellStyle name="20% - Accent6 22 2 3 2" xfId="7661"/>
    <cellStyle name="20% - Accent6 22 2 4" xfId="6152"/>
    <cellStyle name="20% - Accent6 22 3" xfId="3977"/>
    <cellStyle name="20% - Accent6 22 3 2" xfId="9310"/>
    <cellStyle name="20% - Accent6 22 4" xfId="2326"/>
    <cellStyle name="20% - Accent6 22 4 2" xfId="7660"/>
    <cellStyle name="20% - Accent6 22 5" xfId="5676"/>
    <cellStyle name="20% - Accent6 23" xfId="353"/>
    <cellStyle name="20% - Accent6 23 2" xfId="830"/>
    <cellStyle name="20% - Accent6 23 2 2" xfId="3978"/>
    <cellStyle name="20% - Accent6 23 2 2 2" xfId="9311"/>
    <cellStyle name="20% - Accent6 23 2 3" xfId="2329"/>
    <cellStyle name="20% - Accent6 23 2 3 2" xfId="7663"/>
    <cellStyle name="20% - Accent6 23 2 4" xfId="6166"/>
    <cellStyle name="20% - Accent6 23 3" xfId="3979"/>
    <cellStyle name="20% - Accent6 23 3 2" xfId="9312"/>
    <cellStyle name="20% - Accent6 23 4" xfId="2328"/>
    <cellStyle name="20% - Accent6 23 4 2" xfId="7662"/>
    <cellStyle name="20% - Accent6 23 5" xfId="5690"/>
    <cellStyle name="20% - Accent6 24" xfId="367"/>
    <cellStyle name="20% - Accent6 24 2" xfId="844"/>
    <cellStyle name="20% - Accent6 24 2 2" xfId="3980"/>
    <cellStyle name="20% - Accent6 24 2 2 2" xfId="9313"/>
    <cellStyle name="20% - Accent6 24 2 3" xfId="2331"/>
    <cellStyle name="20% - Accent6 24 2 3 2" xfId="7665"/>
    <cellStyle name="20% - Accent6 24 2 4" xfId="6180"/>
    <cellStyle name="20% - Accent6 24 3" xfId="3981"/>
    <cellStyle name="20% - Accent6 24 3 2" xfId="9314"/>
    <cellStyle name="20% - Accent6 24 4" xfId="2330"/>
    <cellStyle name="20% - Accent6 24 4 2" xfId="7664"/>
    <cellStyle name="20% - Accent6 24 5" xfId="5704"/>
    <cellStyle name="20% - Accent6 25" xfId="381"/>
    <cellStyle name="20% - Accent6 25 2" xfId="858"/>
    <cellStyle name="20% - Accent6 25 2 2" xfId="3982"/>
    <cellStyle name="20% - Accent6 25 2 2 2" xfId="9315"/>
    <cellStyle name="20% - Accent6 25 2 3" xfId="2333"/>
    <cellStyle name="20% - Accent6 25 2 3 2" xfId="7667"/>
    <cellStyle name="20% - Accent6 25 2 4" xfId="6194"/>
    <cellStyle name="20% - Accent6 25 3" xfId="3983"/>
    <cellStyle name="20% - Accent6 25 3 2" xfId="9316"/>
    <cellStyle name="20% - Accent6 25 4" xfId="2332"/>
    <cellStyle name="20% - Accent6 25 4 2" xfId="7666"/>
    <cellStyle name="20% - Accent6 25 5" xfId="5718"/>
    <cellStyle name="20% - Accent6 26" xfId="395"/>
    <cellStyle name="20% - Accent6 26 2" xfId="872"/>
    <cellStyle name="20% - Accent6 26 2 2" xfId="3984"/>
    <cellStyle name="20% - Accent6 26 2 2 2" xfId="9317"/>
    <cellStyle name="20% - Accent6 26 2 3" xfId="2335"/>
    <cellStyle name="20% - Accent6 26 2 3 2" xfId="7669"/>
    <cellStyle name="20% - Accent6 26 2 4" xfId="6208"/>
    <cellStyle name="20% - Accent6 26 3" xfId="3985"/>
    <cellStyle name="20% - Accent6 26 3 2" xfId="9318"/>
    <cellStyle name="20% - Accent6 26 4" xfId="2334"/>
    <cellStyle name="20% - Accent6 26 4 2" xfId="7668"/>
    <cellStyle name="20% - Accent6 26 5" xfId="5732"/>
    <cellStyle name="20% - Accent6 27" xfId="409"/>
    <cellStyle name="20% - Accent6 27 2" xfId="886"/>
    <cellStyle name="20% - Accent6 27 2 2" xfId="3986"/>
    <cellStyle name="20% - Accent6 27 2 2 2" xfId="9319"/>
    <cellStyle name="20% - Accent6 27 2 3" xfId="2337"/>
    <cellStyle name="20% - Accent6 27 2 3 2" xfId="7671"/>
    <cellStyle name="20% - Accent6 27 2 4" xfId="6222"/>
    <cellStyle name="20% - Accent6 27 3" xfId="3987"/>
    <cellStyle name="20% - Accent6 27 3 2" xfId="9320"/>
    <cellStyle name="20% - Accent6 27 4" xfId="2336"/>
    <cellStyle name="20% - Accent6 27 4 2" xfId="7670"/>
    <cellStyle name="20% - Accent6 27 5" xfId="5746"/>
    <cellStyle name="20% - Accent6 28" xfId="423"/>
    <cellStyle name="20% - Accent6 28 2" xfId="900"/>
    <cellStyle name="20% - Accent6 28 2 2" xfId="3988"/>
    <cellStyle name="20% - Accent6 28 2 2 2" xfId="9321"/>
    <cellStyle name="20% - Accent6 28 2 3" xfId="2339"/>
    <cellStyle name="20% - Accent6 28 2 3 2" xfId="7673"/>
    <cellStyle name="20% - Accent6 28 2 4" xfId="6236"/>
    <cellStyle name="20% - Accent6 28 3" xfId="3989"/>
    <cellStyle name="20% - Accent6 28 3 2" xfId="9322"/>
    <cellStyle name="20% - Accent6 28 4" xfId="2338"/>
    <cellStyle name="20% - Accent6 28 4 2" xfId="7672"/>
    <cellStyle name="20% - Accent6 28 5" xfId="5760"/>
    <cellStyle name="20% - Accent6 29" xfId="437"/>
    <cellStyle name="20% - Accent6 29 2" xfId="914"/>
    <cellStyle name="20% - Accent6 29 2 2" xfId="3990"/>
    <cellStyle name="20% - Accent6 29 2 2 2" xfId="9323"/>
    <cellStyle name="20% - Accent6 29 2 3" xfId="2341"/>
    <cellStyle name="20% - Accent6 29 2 3 2" xfId="7675"/>
    <cellStyle name="20% - Accent6 29 2 4" xfId="6250"/>
    <cellStyle name="20% - Accent6 29 3" xfId="3991"/>
    <cellStyle name="20% - Accent6 29 3 2" xfId="9324"/>
    <cellStyle name="20% - Accent6 29 4" xfId="2340"/>
    <cellStyle name="20% - Accent6 29 4 2" xfId="7674"/>
    <cellStyle name="20% - Accent6 29 5" xfId="5774"/>
    <cellStyle name="20% - Accent6 3" xfId="72"/>
    <cellStyle name="20% - Accent6 3 2" xfId="549"/>
    <cellStyle name="20% - Accent6 3 2 2" xfId="3992"/>
    <cellStyle name="20% - Accent6 3 2 2 2" xfId="9325"/>
    <cellStyle name="20% - Accent6 3 2 3" xfId="2343"/>
    <cellStyle name="20% - Accent6 3 2 3 2" xfId="7677"/>
    <cellStyle name="20% - Accent6 3 2 4" xfId="5886"/>
    <cellStyle name="20% - Accent6 3 3" xfId="3993"/>
    <cellStyle name="20% - Accent6 3 3 2" xfId="9326"/>
    <cellStyle name="20% - Accent6 3 4" xfId="2342"/>
    <cellStyle name="20% - Accent6 3 4 2" xfId="7676"/>
    <cellStyle name="20% - Accent6 3 5" xfId="5410"/>
    <cellStyle name="20% - Accent6 30" xfId="451"/>
    <cellStyle name="20% - Accent6 30 2" xfId="928"/>
    <cellStyle name="20% - Accent6 30 2 2" xfId="3994"/>
    <cellStyle name="20% - Accent6 30 2 2 2" xfId="9327"/>
    <cellStyle name="20% - Accent6 30 2 3" xfId="2345"/>
    <cellStyle name="20% - Accent6 30 2 3 2" xfId="7679"/>
    <cellStyle name="20% - Accent6 30 2 4" xfId="6264"/>
    <cellStyle name="20% - Accent6 30 3" xfId="3995"/>
    <cellStyle name="20% - Accent6 30 3 2" xfId="9328"/>
    <cellStyle name="20% - Accent6 30 4" xfId="2344"/>
    <cellStyle name="20% - Accent6 30 4 2" xfId="7678"/>
    <cellStyle name="20% - Accent6 30 5" xfId="5788"/>
    <cellStyle name="20% - Accent6 31" xfId="465"/>
    <cellStyle name="20% - Accent6 31 2" xfId="942"/>
    <cellStyle name="20% - Accent6 31 2 2" xfId="3996"/>
    <cellStyle name="20% - Accent6 31 2 2 2" xfId="9329"/>
    <cellStyle name="20% - Accent6 31 2 3" xfId="2347"/>
    <cellStyle name="20% - Accent6 31 2 3 2" xfId="7681"/>
    <cellStyle name="20% - Accent6 31 2 4" xfId="6278"/>
    <cellStyle name="20% - Accent6 31 3" xfId="3997"/>
    <cellStyle name="20% - Accent6 31 3 2" xfId="9330"/>
    <cellStyle name="20% - Accent6 31 4" xfId="2346"/>
    <cellStyle name="20% - Accent6 31 4 2" xfId="7680"/>
    <cellStyle name="20% - Accent6 31 5" xfId="5802"/>
    <cellStyle name="20% - Accent6 32" xfId="479"/>
    <cellStyle name="20% - Accent6 32 2" xfId="956"/>
    <cellStyle name="20% - Accent6 32 2 2" xfId="3998"/>
    <cellStyle name="20% - Accent6 32 2 2 2" xfId="9331"/>
    <cellStyle name="20% - Accent6 32 2 3" xfId="2349"/>
    <cellStyle name="20% - Accent6 32 2 3 2" xfId="7683"/>
    <cellStyle name="20% - Accent6 32 2 4" xfId="6292"/>
    <cellStyle name="20% - Accent6 32 3" xfId="3999"/>
    <cellStyle name="20% - Accent6 32 3 2" xfId="9332"/>
    <cellStyle name="20% - Accent6 32 4" xfId="2348"/>
    <cellStyle name="20% - Accent6 32 4 2" xfId="7682"/>
    <cellStyle name="20% - Accent6 32 5" xfId="5816"/>
    <cellStyle name="20% - Accent6 33" xfId="493"/>
    <cellStyle name="20% - Accent6 33 2" xfId="970"/>
    <cellStyle name="20% - Accent6 33 2 2" xfId="4000"/>
    <cellStyle name="20% - Accent6 33 2 2 2" xfId="9333"/>
    <cellStyle name="20% - Accent6 33 2 3" xfId="2351"/>
    <cellStyle name="20% - Accent6 33 2 3 2" xfId="7685"/>
    <cellStyle name="20% - Accent6 33 2 4" xfId="6306"/>
    <cellStyle name="20% - Accent6 33 3" xfId="4001"/>
    <cellStyle name="20% - Accent6 33 3 2" xfId="9334"/>
    <cellStyle name="20% - Accent6 33 4" xfId="2350"/>
    <cellStyle name="20% - Accent6 33 4 2" xfId="7684"/>
    <cellStyle name="20% - Accent6 33 5" xfId="5830"/>
    <cellStyle name="20% - Accent6 34" xfId="507"/>
    <cellStyle name="20% - Accent6 34 2" xfId="984"/>
    <cellStyle name="20% - Accent6 34 2 2" xfId="4002"/>
    <cellStyle name="20% - Accent6 34 2 2 2" xfId="9335"/>
    <cellStyle name="20% - Accent6 34 2 3" xfId="2353"/>
    <cellStyle name="20% - Accent6 34 2 3 2" xfId="7687"/>
    <cellStyle name="20% - Accent6 34 2 4" xfId="6320"/>
    <cellStyle name="20% - Accent6 34 3" xfId="4003"/>
    <cellStyle name="20% - Accent6 34 3 2" xfId="9336"/>
    <cellStyle name="20% - Accent6 34 4" xfId="2352"/>
    <cellStyle name="20% - Accent6 34 4 2" xfId="7686"/>
    <cellStyle name="20% - Accent6 34 5" xfId="5844"/>
    <cellStyle name="20% - Accent6 35" xfId="998"/>
    <cellStyle name="20% - Accent6 35 2" xfId="4004"/>
    <cellStyle name="20% - Accent6 35 2 2" xfId="9337"/>
    <cellStyle name="20% - Accent6 35 3" xfId="2354"/>
    <cellStyle name="20% - Accent6 35 3 2" xfId="7688"/>
    <cellStyle name="20% - Accent6 35 4" xfId="6334"/>
    <cellStyle name="20% - Accent6 36" xfId="1012"/>
    <cellStyle name="20% - Accent6 36 2" xfId="4005"/>
    <cellStyle name="20% - Accent6 36 2 2" xfId="9338"/>
    <cellStyle name="20% - Accent6 36 3" xfId="2355"/>
    <cellStyle name="20% - Accent6 36 3 2" xfId="7689"/>
    <cellStyle name="20% - Accent6 36 4" xfId="6348"/>
    <cellStyle name="20% - Accent6 37" xfId="1026"/>
    <cellStyle name="20% - Accent6 37 2" xfId="4006"/>
    <cellStyle name="20% - Accent6 37 2 2" xfId="9339"/>
    <cellStyle name="20% - Accent6 37 3" xfId="2356"/>
    <cellStyle name="20% - Accent6 37 3 2" xfId="7690"/>
    <cellStyle name="20% - Accent6 37 4" xfId="6362"/>
    <cellStyle name="20% - Accent6 38" xfId="514"/>
    <cellStyle name="20% - Accent6 38 2" xfId="4007"/>
    <cellStyle name="20% - Accent6 38 2 2" xfId="9340"/>
    <cellStyle name="20% - Accent6 38 3" xfId="2357"/>
    <cellStyle name="20% - Accent6 38 3 2" xfId="7691"/>
    <cellStyle name="20% - Accent6 38 4" xfId="5851"/>
    <cellStyle name="20% - Accent6 39" xfId="1040"/>
    <cellStyle name="20% - Accent6 39 2" xfId="4008"/>
    <cellStyle name="20% - Accent6 39 2 2" xfId="9341"/>
    <cellStyle name="20% - Accent6 39 3" xfId="3111"/>
    <cellStyle name="20% - Accent6 39 3 2" xfId="8445"/>
    <cellStyle name="20% - Accent6 39 4" xfId="6376"/>
    <cellStyle name="20% - Accent6 4" xfId="86"/>
    <cellStyle name="20% - Accent6 4 2" xfId="563"/>
    <cellStyle name="20% - Accent6 4 2 2" xfId="4009"/>
    <cellStyle name="20% - Accent6 4 2 2 2" xfId="9342"/>
    <cellStyle name="20% - Accent6 4 2 3" xfId="2359"/>
    <cellStyle name="20% - Accent6 4 2 3 2" xfId="7693"/>
    <cellStyle name="20% - Accent6 4 2 4" xfId="5900"/>
    <cellStyle name="20% - Accent6 4 3" xfId="4010"/>
    <cellStyle name="20% - Accent6 4 3 2" xfId="9343"/>
    <cellStyle name="20% - Accent6 4 4" xfId="2358"/>
    <cellStyle name="20% - Accent6 4 4 2" xfId="7692"/>
    <cellStyle name="20% - Accent6 4 5" xfId="5424"/>
    <cellStyle name="20% - Accent6 40" xfId="1054"/>
    <cellStyle name="20% - Accent6 40 2" xfId="4011"/>
    <cellStyle name="20% - Accent6 40 2 2" xfId="9344"/>
    <cellStyle name="20% - Accent6 40 3" xfId="3112"/>
    <cellStyle name="20% - Accent6 40 3 2" xfId="8446"/>
    <cellStyle name="20% - Accent6 40 4" xfId="6390"/>
    <cellStyle name="20% - Accent6 41" xfId="1068"/>
    <cellStyle name="20% - Accent6 41 2" xfId="4012"/>
    <cellStyle name="20% - Accent6 41 2 2" xfId="9345"/>
    <cellStyle name="20% - Accent6 41 3" xfId="3113"/>
    <cellStyle name="20% - Accent6 41 3 2" xfId="8447"/>
    <cellStyle name="20% - Accent6 41 4" xfId="6404"/>
    <cellStyle name="20% - Accent6 42" xfId="1082"/>
    <cellStyle name="20% - Accent6 42 2" xfId="4013"/>
    <cellStyle name="20% - Accent6 42 2 2" xfId="9346"/>
    <cellStyle name="20% - Accent6 42 3" xfId="3114"/>
    <cellStyle name="20% - Accent6 42 3 2" xfId="8448"/>
    <cellStyle name="20% - Accent6 42 4" xfId="6418"/>
    <cellStyle name="20% - Accent6 43" xfId="1096"/>
    <cellStyle name="20% - Accent6 43 2" xfId="4014"/>
    <cellStyle name="20% - Accent6 43 2 2" xfId="9347"/>
    <cellStyle name="20% - Accent6 43 3" xfId="3115"/>
    <cellStyle name="20% - Accent6 43 3 2" xfId="8449"/>
    <cellStyle name="20% - Accent6 43 4" xfId="6432"/>
    <cellStyle name="20% - Accent6 44" xfId="1110"/>
    <cellStyle name="20% - Accent6 44 2" xfId="4015"/>
    <cellStyle name="20% - Accent6 44 2 2" xfId="9348"/>
    <cellStyle name="20% - Accent6 44 3" xfId="3116"/>
    <cellStyle name="20% - Accent6 44 3 2" xfId="8450"/>
    <cellStyle name="20% - Accent6 44 4" xfId="6446"/>
    <cellStyle name="20% - Accent6 45" xfId="1124"/>
    <cellStyle name="20% - Accent6 45 2" xfId="4016"/>
    <cellStyle name="20% - Accent6 45 2 2" xfId="9349"/>
    <cellStyle name="20% - Accent6 45 3" xfId="3117"/>
    <cellStyle name="20% - Accent6 45 3 2" xfId="8451"/>
    <cellStyle name="20% - Accent6 45 4" xfId="6460"/>
    <cellStyle name="20% - Accent6 46" xfId="1138"/>
    <cellStyle name="20% - Accent6 46 2" xfId="4017"/>
    <cellStyle name="20% - Accent6 46 2 2" xfId="9350"/>
    <cellStyle name="20% - Accent6 46 3" xfId="3118"/>
    <cellStyle name="20% - Accent6 46 3 2" xfId="8452"/>
    <cellStyle name="20% - Accent6 46 4" xfId="6474"/>
    <cellStyle name="20% - Accent6 47" xfId="1152"/>
    <cellStyle name="20% - Accent6 47 2" xfId="4018"/>
    <cellStyle name="20% - Accent6 47 2 2" xfId="9351"/>
    <cellStyle name="20% - Accent6 47 3" xfId="3119"/>
    <cellStyle name="20% - Accent6 47 3 2" xfId="8453"/>
    <cellStyle name="20% - Accent6 47 4" xfId="6488"/>
    <cellStyle name="20% - Accent6 48" xfId="1166"/>
    <cellStyle name="20% - Accent6 48 2" xfId="4019"/>
    <cellStyle name="20% - Accent6 48 2 2" xfId="9352"/>
    <cellStyle name="20% - Accent6 48 3" xfId="3120"/>
    <cellStyle name="20% - Accent6 48 3 2" xfId="8454"/>
    <cellStyle name="20% - Accent6 48 4" xfId="6502"/>
    <cellStyle name="20% - Accent6 49" xfId="1180"/>
    <cellStyle name="20% - Accent6 49 2" xfId="4020"/>
    <cellStyle name="20% - Accent6 49 2 2" xfId="9353"/>
    <cellStyle name="20% - Accent6 49 3" xfId="3121"/>
    <cellStyle name="20% - Accent6 49 3 2" xfId="8455"/>
    <cellStyle name="20% - Accent6 49 4" xfId="6516"/>
    <cellStyle name="20% - Accent6 5" xfId="100"/>
    <cellStyle name="20% - Accent6 5 2" xfId="577"/>
    <cellStyle name="20% - Accent6 5 2 2" xfId="4021"/>
    <cellStyle name="20% - Accent6 5 2 2 2" xfId="9354"/>
    <cellStyle name="20% - Accent6 5 2 3" xfId="2361"/>
    <cellStyle name="20% - Accent6 5 2 3 2" xfId="7695"/>
    <cellStyle name="20% - Accent6 5 2 4" xfId="5914"/>
    <cellStyle name="20% - Accent6 5 3" xfId="4022"/>
    <cellStyle name="20% - Accent6 5 3 2" xfId="9355"/>
    <cellStyle name="20% - Accent6 5 4" xfId="2360"/>
    <cellStyle name="20% - Accent6 5 4 2" xfId="7694"/>
    <cellStyle name="20% - Accent6 5 5" xfId="5438"/>
    <cellStyle name="20% - Accent6 50" xfId="1194"/>
    <cellStyle name="20% - Accent6 50 2" xfId="4023"/>
    <cellStyle name="20% - Accent6 50 2 2" xfId="9356"/>
    <cellStyle name="20% - Accent6 50 3" xfId="3122"/>
    <cellStyle name="20% - Accent6 50 3 2" xfId="8456"/>
    <cellStyle name="20% - Accent6 50 4" xfId="6530"/>
    <cellStyle name="20% - Accent6 51" xfId="1208"/>
    <cellStyle name="20% - Accent6 51 2" xfId="4024"/>
    <cellStyle name="20% - Accent6 51 2 2" xfId="9357"/>
    <cellStyle name="20% - Accent6 51 3" xfId="3123"/>
    <cellStyle name="20% - Accent6 51 3 2" xfId="8457"/>
    <cellStyle name="20% - Accent6 51 4" xfId="6544"/>
    <cellStyle name="20% - Accent6 52" xfId="1222"/>
    <cellStyle name="20% - Accent6 52 2" xfId="4025"/>
    <cellStyle name="20% - Accent6 52 2 2" xfId="9358"/>
    <cellStyle name="20% - Accent6 52 3" xfId="3124"/>
    <cellStyle name="20% - Accent6 52 3 2" xfId="8458"/>
    <cellStyle name="20% - Accent6 52 4" xfId="6558"/>
    <cellStyle name="20% - Accent6 53" xfId="1236"/>
    <cellStyle name="20% - Accent6 53 2" xfId="4026"/>
    <cellStyle name="20% - Accent6 53 2 2" xfId="9359"/>
    <cellStyle name="20% - Accent6 53 3" xfId="3125"/>
    <cellStyle name="20% - Accent6 53 3 2" xfId="8459"/>
    <cellStyle name="20% - Accent6 53 4" xfId="6572"/>
    <cellStyle name="20% - Accent6 54" xfId="1250"/>
    <cellStyle name="20% - Accent6 54 2" xfId="4027"/>
    <cellStyle name="20% - Accent6 54 2 2" xfId="9360"/>
    <cellStyle name="20% - Accent6 54 3" xfId="3126"/>
    <cellStyle name="20% - Accent6 54 3 2" xfId="8460"/>
    <cellStyle name="20% - Accent6 54 4" xfId="6586"/>
    <cellStyle name="20% - Accent6 55" xfId="1264"/>
    <cellStyle name="20% - Accent6 55 2" xfId="4028"/>
    <cellStyle name="20% - Accent6 55 2 2" xfId="9361"/>
    <cellStyle name="20% - Accent6 55 3" xfId="3127"/>
    <cellStyle name="20% - Accent6 55 3 2" xfId="8461"/>
    <cellStyle name="20% - Accent6 55 4" xfId="6600"/>
    <cellStyle name="20% - Accent6 56" xfId="1278"/>
    <cellStyle name="20% - Accent6 56 2" xfId="4029"/>
    <cellStyle name="20% - Accent6 56 2 2" xfId="9362"/>
    <cellStyle name="20% - Accent6 56 3" xfId="3128"/>
    <cellStyle name="20% - Accent6 56 3 2" xfId="8462"/>
    <cellStyle name="20% - Accent6 56 4" xfId="6614"/>
    <cellStyle name="20% - Accent6 57" xfId="1292"/>
    <cellStyle name="20% - Accent6 57 2" xfId="4030"/>
    <cellStyle name="20% - Accent6 57 2 2" xfId="9363"/>
    <cellStyle name="20% - Accent6 57 3" xfId="3129"/>
    <cellStyle name="20% - Accent6 57 3 2" xfId="8463"/>
    <cellStyle name="20% - Accent6 57 4" xfId="6628"/>
    <cellStyle name="20% - Accent6 58" xfId="1306"/>
    <cellStyle name="20% - Accent6 58 2" xfId="4031"/>
    <cellStyle name="20% - Accent6 58 2 2" xfId="9364"/>
    <cellStyle name="20% - Accent6 58 3" xfId="3130"/>
    <cellStyle name="20% - Accent6 58 3 2" xfId="8464"/>
    <cellStyle name="20% - Accent6 58 4" xfId="6642"/>
    <cellStyle name="20% - Accent6 59" xfId="1320"/>
    <cellStyle name="20% - Accent6 59 2" xfId="4032"/>
    <cellStyle name="20% - Accent6 59 2 2" xfId="9365"/>
    <cellStyle name="20% - Accent6 59 3" xfId="3131"/>
    <cellStyle name="20% - Accent6 59 3 2" xfId="8465"/>
    <cellStyle name="20% - Accent6 59 4" xfId="6656"/>
    <cellStyle name="20% - Accent6 6" xfId="114"/>
    <cellStyle name="20% - Accent6 6 2" xfId="591"/>
    <cellStyle name="20% - Accent6 6 2 2" xfId="4033"/>
    <cellStyle name="20% - Accent6 6 2 2 2" xfId="9366"/>
    <cellStyle name="20% - Accent6 6 2 3" xfId="2363"/>
    <cellStyle name="20% - Accent6 6 2 3 2" xfId="7697"/>
    <cellStyle name="20% - Accent6 6 2 4" xfId="5928"/>
    <cellStyle name="20% - Accent6 6 3" xfId="4034"/>
    <cellStyle name="20% - Accent6 6 3 2" xfId="9367"/>
    <cellStyle name="20% - Accent6 6 4" xfId="2362"/>
    <cellStyle name="20% - Accent6 6 4 2" xfId="7696"/>
    <cellStyle name="20% - Accent6 6 5" xfId="5452"/>
    <cellStyle name="20% - Accent6 60" xfId="1334"/>
    <cellStyle name="20% - Accent6 60 2" xfId="4035"/>
    <cellStyle name="20% - Accent6 60 2 2" xfId="9368"/>
    <cellStyle name="20% - Accent6 60 3" xfId="3132"/>
    <cellStyle name="20% - Accent6 60 3 2" xfId="8466"/>
    <cellStyle name="20% - Accent6 60 4" xfId="6670"/>
    <cellStyle name="20% - Accent6 61" xfId="1348"/>
    <cellStyle name="20% - Accent6 61 2" xfId="4036"/>
    <cellStyle name="20% - Accent6 61 2 2" xfId="9369"/>
    <cellStyle name="20% - Accent6 61 3" xfId="3133"/>
    <cellStyle name="20% - Accent6 61 3 2" xfId="8467"/>
    <cellStyle name="20% - Accent6 61 4" xfId="6684"/>
    <cellStyle name="20% - Accent6 62" xfId="1362"/>
    <cellStyle name="20% - Accent6 62 2" xfId="3134"/>
    <cellStyle name="20% - Accent6 62 2 2" xfId="8468"/>
    <cellStyle name="20% - Accent6 62 3" xfId="6698"/>
    <cellStyle name="20% - Accent6 63" xfId="1376"/>
    <cellStyle name="20% - Accent6 63 2" xfId="3135"/>
    <cellStyle name="20% - Accent6 63 2 2" xfId="8469"/>
    <cellStyle name="20% - Accent6 63 3" xfId="6712"/>
    <cellStyle name="20% - Accent6 64" xfId="1390"/>
    <cellStyle name="20% - Accent6 64 2" xfId="3136"/>
    <cellStyle name="20% - Accent6 64 2 2" xfId="8470"/>
    <cellStyle name="20% - Accent6 64 3" xfId="6726"/>
    <cellStyle name="20% - Accent6 65" xfId="1404"/>
    <cellStyle name="20% - Accent6 65 2" xfId="3137"/>
    <cellStyle name="20% - Accent6 65 2 2" xfId="8471"/>
    <cellStyle name="20% - Accent6 65 3" xfId="6740"/>
    <cellStyle name="20% - Accent6 66" xfId="1418"/>
    <cellStyle name="20% - Accent6 66 2" xfId="3138"/>
    <cellStyle name="20% - Accent6 66 2 2" xfId="8472"/>
    <cellStyle name="20% - Accent6 66 3" xfId="6754"/>
    <cellStyle name="20% - Accent6 67" xfId="1432"/>
    <cellStyle name="20% - Accent6 67 2" xfId="3139"/>
    <cellStyle name="20% - Accent6 67 2 2" xfId="8473"/>
    <cellStyle name="20% - Accent6 67 3" xfId="6768"/>
    <cellStyle name="20% - Accent6 68" xfId="1446"/>
    <cellStyle name="20% - Accent6 68 2" xfId="3140"/>
    <cellStyle name="20% - Accent6 68 2 2" xfId="8474"/>
    <cellStyle name="20% - Accent6 68 3" xfId="6782"/>
    <cellStyle name="20% - Accent6 69" xfId="1460"/>
    <cellStyle name="20% - Accent6 69 2" xfId="3141"/>
    <cellStyle name="20% - Accent6 69 2 2" xfId="8475"/>
    <cellStyle name="20% - Accent6 69 3" xfId="6796"/>
    <cellStyle name="20% - Accent6 7" xfId="128"/>
    <cellStyle name="20% - Accent6 7 2" xfId="605"/>
    <cellStyle name="20% - Accent6 7 2 2" xfId="4037"/>
    <cellStyle name="20% - Accent6 7 2 2 2" xfId="9370"/>
    <cellStyle name="20% - Accent6 7 2 3" xfId="2365"/>
    <cellStyle name="20% - Accent6 7 2 3 2" xfId="7699"/>
    <cellStyle name="20% - Accent6 7 2 4" xfId="5942"/>
    <cellStyle name="20% - Accent6 7 3" xfId="4038"/>
    <cellStyle name="20% - Accent6 7 3 2" xfId="9371"/>
    <cellStyle name="20% - Accent6 7 4" xfId="2364"/>
    <cellStyle name="20% - Accent6 7 4 2" xfId="7698"/>
    <cellStyle name="20% - Accent6 7 5" xfId="5466"/>
    <cellStyle name="20% - Accent6 70" xfId="1474"/>
    <cellStyle name="20% - Accent6 70 2" xfId="3142"/>
    <cellStyle name="20% - Accent6 70 2 2" xfId="8476"/>
    <cellStyle name="20% - Accent6 70 3" xfId="6810"/>
    <cellStyle name="20% - Accent6 71" xfId="1488"/>
    <cellStyle name="20% - Accent6 71 2" xfId="3143"/>
    <cellStyle name="20% - Accent6 71 2 2" xfId="8477"/>
    <cellStyle name="20% - Accent6 71 3" xfId="6824"/>
    <cellStyle name="20% - Accent6 72" xfId="1502"/>
    <cellStyle name="20% - Accent6 72 2" xfId="3144"/>
    <cellStyle name="20% - Accent6 72 2 2" xfId="8478"/>
    <cellStyle name="20% - Accent6 72 3" xfId="6838"/>
    <cellStyle name="20% - Accent6 73" xfId="1516"/>
    <cellStyle name="20% - Accent6 73 2" xfId="3145"/>
    <cellStyle name="20% - Accent6 73 2 2" xfId="8479"/>
    <cellStyle name="20% - Accent6 73 3" xfId="6852"/>
    <cellStyle name="20% - Accent6 74" xfId="1530"/>
    <cellStyle name="20% - Accent6 74 2" xfId="3146"/>
    <cellStyle name="20% - Accent6 74 2 2" xfId="8480"/>
    <cellStyle name="20% - Accent6 74 3" xfId="6866"/>
    <cellStyle name="20% - Accent6 75" xfId="1544"/>
    <cellStyle name="20% - Accent6 75 2" xfId="3147"/>
    <cellStyle name="20% - Accent6 75 2 2" xfId="8481"/>
    <cellStyle name="20% - Accent6 75 3" xfId="6880"/>
    <cellStyle name="20% - Accent6 76" xfId="1558"/>
    <cellStyle name="20% - Accent6 76 2" xfId="3452"/>
    <cellStyle name="20% - Accent6 76 2 2" xfId="8786"/>
    <cellStyle name="20% - Accent6 76 3" xfId="6894"/>
    <cellStyle name="20% - Accent6 77" xfId="1572"/>
    <cellStyle name="20% - Accent6 77 2" xfId="3453"/>
    <cellStyle name="20% - Accent6 77 2 2" xfId="8787"/>
    <cellStyle name="20% - Accent6 77 3" xfId="6908"/>
    <cellStyle name="20% - Accent6 78" xfId="1586"/>
    <cellStyle name="20% - Accent6 78 2" xfId="3454"/>
    <cellStyle name="20% - Accent6 78 2 2" xfId="8788"/>
    <cellStyle name="20% - Accent6 78 3" xfId="6922"/>
    <cellStyle name="20% - Accent6 79" xfId="1600"/>
    <cellStyle name="20% - Accent6 79 2" xfId="3455"/>
    <cellStyle name="20% - Accent6 79 2 2" xfId="8789"/>
    <cellStyle name="20% - Accent6 79 3" xfId="6936"/>
    <cellStyle name="20% - Accent6 8" xfId="142"/>
    <cellStyle name="20% - Accent6 8 2" xfId="619"/>
    <cellStyle name="20% - Accent6 8 2 2" xfId="4039"/>
    <cellStyle name="20% - Accent6 8 2 2 2" xfId="9372"/>
    <cellStyle name="20% - Accent6 8 2 3" xfId="2367"/>
    <cellStyle name="20% - Accent6 8 2 3 2" xfId="7701"/>
    <cellStyle name="20% - Accent6 8 2 4" xfId="5956"/>
    <cellStyle name="20% - Accent6 8 3" xfId="4040"/>
    <cellStyle name="20% - Accent6 8 3 2" xfId="9373"/>
    <cellStyle name="20% - Accent6 8 4" xfId="2366"/>
    <cellStyle name="20% - Accent6 8 4 2" xfId="7700"/>
    <cellStyle name="20% - Accent6 8 5" xfId="5480"/>
    <cellStyle name="20% - Accent6 80" xfId="1614"/>
    <cellStyle name="20% - Accent6 80 2" xfId="4819"/>
    <cellStyle name="20% - Accent6 80 2 2" xfId="10152"/>
    <cellStyle name="20% - Accent6 80 3" xfId="6950"/>
    <cellStyle name="20% - Accent6 81" xfId="1628"/>
    <cellStyle name="20% - Accent6 81 2" xfId="4820"/>
    <cellStyle name="20% - Accent6 81 2 2" xfId="10153"/>
    <cellStyle name="20% - Accent6 81 3" xfId="6964"/>
    <cellStyle name="20% - Accent6 82" xfId="1642"/>
    <cellStyle name="20% - Accent6 82 2" xfId="4821"/>
    <cellStyle name="20% - Accent6 82 2 2" xfId="10154"/>
    <cellStyle name="20% - Accent6 82 3" xfId="6978"/>
    <cellStyle name="20% - Accent6 83" xfId="1656"/>
    <cellStyle name="20% - Accent6 83 2" xfId="4822"/>
    <cellStyle name="20% - Accent6 83 2 2" xfId="10155"/>
    <cellStyle name="20% - Accent6 83 3" xfId="6992"/>
    <cellStyle name="20% - Accent6 84" xfId="1670"/>
    <cellStyle name="20% - Accent6 84 2" xfId="4823"/>
    <cellStyle name="20% - Accent6 84 2 2" xfId="10156"/>
    <cellStyle name="20% - Accent6 84 3" xfId="7006"/>
    <cellStyle name="20% - Accent6 85" xfId="1684"/>
    <cellStyle name="20% - Accent6 85 2" xfId="4877"/>
    <cellStyle name="20% - Accent6 85 2 2" xfId="10210"/>
    <cellStyle name="20% - Accent6 85 3" xfId="7020"/>
    <cellStyle name="20% - Accent6 86" xfId="1698"/>
    <cellStyle name="20% - Accent6 86 2" xfId="4878"/>
    <cellStyle name="20% - Accent6 86 2 2" xfId="10211"/>
    <cellStyle name="20% - Accent6 86 3" xfId="7034"/>
    <cellStyle name="20% - Accent6 87" xfId="1712"/>
    <cellStyle name="20% - Accent6 87 2" xfId="4879"/>
    <cellStyle name="20% - Accent6 87 2 2" xfId="10212"/>
    <cellStyle name="20% - Accent6 87 3" xfId="7048"/>
    <cellStyle name="20% - Accent6 88" xfId="1726"/>
    <cellStyle name="20% - Accent6 88 2" xfId="4936"/>
    <cellStyle name="20% - Accent6 88 2 2" xfId="10269"/>
    <cellStyle name="20% - Accent6 88 3" xfId="7062"/>
    <cellStyle name="20% - Accent6 89" xfId="1740"/>
    <cellStyle name="20% - Accent6 89 2" xfId="4937"/>
    <cellStyle name="20% - Accent6 89 2 2" xfId="10270"/>
    <cellStyle name="20% - Accent6 89 3" xfId="7076"/>
    <cellStyle name="20% - Accent6 9" xfId="156"/>
    <cellStyle name="20% - Accent6 9 2" xfId="633"/>
    <cellStyle name="20% - Accent6 9 2 2" xfId="4041"/>
    <cellStyle name="20% - Accent6 9 2 2 2" xfId="9374"/>
    <cellStyle name="20% - Accent6 9 2 3" xfId="2369"/>
    <cellStyle name="20% - Accent6 9 2 3 2" xfId="7703"/>
    <cellStyle name="20% - Accent6 9 2 4" xfId="5970"/>
    <cellStyle name="20% - Accent6 9 3" xfId="4042"/>
    <cellStyle name="20% - Accent6 9 3 2" xfId="9375"/>
    <cellStyle name="20% - Accent6 9 4" xfId="2368"/>
    <cellStyle name="20% - Accent6 9 4 2" xfId="7702"/>
    <cellStyle name="20% - Accent6 9 5" xfId="5494"/>
    <cellStyle name="20% - Accent6 90" xfId="1754"/>
    <cellStyle name="20% - Accent6 90 2" xfId="4938"/>
    <cellStyle name="20% - Accent6 90 2 2" xfId="10271"/>
    <cellStyle name="20% - Accent6 90 3" xfId="7090"/>
    <cellStyle name="20% - Accent6 91" xfId="1768"/>
    <cellStyle name="20% - Accent6 91 2" xfId="4939"/>
    <cellStyle name="20% - Accent6 91 2 2" xfId="10272"/>
    <cellStyle name="20% - Accent6 91 3" xfId="7104"/>
    <cellStyle name="20% - Accent6 92" xfId="1782"/>
    <cellStyle name="20% - Accent6 92 2" xfId="4940"/>
    <cellStyle name="20% - Accent6 92 2 2" xfId="10273"/>
    <cellStyle name="20% - Accent6 92 3" xfId="7118"/>
    <cellStyle name="20% - Accent6 93" xfId="1796"/>
    <cellStyle name="20% - Accent6 93 2" xfId="4941"/>
    <cellStyle name="20% - Accent6 93 2 2" xfId="10274"/>
    <cellStyle name="20% - Accent6 93 3" xfId="7132"/>
    <cellStyle name="20% - Accent6 94" xfId="1810"/>
    <cellStyle name="20% - Accent6 94 2" xfId="4999"/>
    <cellStyle name="20% - Accent6 94 2 2" xfId="10330"/>
    <cellStyle name="20% - Accent6 94 3" xfId="7146"/>
    <cellStyle name="20% - Accent6 95" xfId="1824"/>
    <cellStyle name="20% - Accent6 95 2" xfId="5000"/>
    <cellStyle name="20% - Accent6 95 2 2" xfId="10331"/>
    <cellStyle name="20% - Accent6 95 3" xfId="7160"/>
    <cellStyle name="20% - Accent6 96" xfId="1838"/>
    <cellStyle name="20% - Accent6 96 2" xfId="5038"/>
    <cellStyle name="20% - Accent6 96 2 2" xfId="10369"/>
    <cellStyle name="20% - Accent6 96 3" xfId="7174"/>
    <cellStyle name="20% - Accent6 97" xfId="1852"/>
    <cellStyle name="20% - Accent6 97 2" xfId="5039"/>
    <cellStyle name="20% - Accent6 97 2 2" xfId="10370"/>
    <cellStyle name="20% - Accent6 97 3" xfId="7188"/>
    <cellStyle name="20% - Accent6 98" xfId="1866"/>
    <cellStyle name="20% - Accent6 98 2" xfId="5040"/>
    <cellStyle name="20% - Accent6 98 2 2" xfId="10371"/>
    <cellStyle name="20% - Accent6 98 3" xfId="7202"/>
    <cellStyle name="20% - Accent6 99" xfId="1880"/>
    <cellStyle name="20% - Accent6 99 2" xfId="5041"/>
    <cellStyle name="20% - Accent6 99 2 2" xfId="10372"/>
    <cellStyle name="20% - Accent6 99 3" xfId="7216"/>
    <cellStyle name="40% - Accent1" xfId="7" builtinId="31" customBuiltin="1"/>
    <cellStyle name="40% - Accent1 10" xfId="161"/>
    <cellStyle name="40% - Accent1 10 2" xfId="638"/>
    <cellStyle name="40% - Accent1 10 2 2" xfId="4043"/>
    <cellStyle name="40% - Accent1 10 2 2 2" xfId="9376"/>
    <cellStyle name="40% - Accent1 10 2 3" xfId="2371"/>
    <cellStyle name="40% - Accent1 10 2 3 2" xfId="7705"/>
    <cellStyle name="40% - Accent1 10 2 4" xfId="5975"/>
    <cellStyle name="40% - Accent1 10 3" xfId="4044"/>
    <cellStyle name="40% - Accent1 10 3 2" xfId="9377"/>
    <cellStyle name="40% - Accent1 10 4" xfId="2370"/>
    <cellStyle name="40% - Accent1 10 4 2" xfId="7704"/>
    <cellStyle name="40% - Accent1 10 5" xfId="5499"/>
    <cellStyle name="40% - Accent1 100" xfId="1885"/>
    <cellStyle name="40% - Accent1 100 2" xfId="7221"/>
    <cellStyle name="40% - Accent1 101" xfId="1899"/>
    <cellStyle name="40% - Accent1 101 2" xfId="7235"/>
    <cellStyle name="40% - Accent1 102" xfId="1913"/>
    <cellStyle name="40% - Accent1 102 2" xfId="7249"/>
    <cellStyle name="40% - Accent1 103" xfId="5074"/>
    <cellStyle name="40% - Accent1 103 2" xfId="10405"/>
    <cellStyle name="40% - Accent1 104" xfId="5088"/>
    <cellStyle name="40% - Accent1 104 2" xfId="10419"/>
    <cellStyle name="40% - Accent1 105" xfId="5102"/>
    <cellStyle name="40% - Accent1 105 2" xfId="10433"/>
    <cellStyle name="40% - Accent1 106" xfId="5116"/>
    <cellStyle name="40% - Accent1 106 2" xfId="10447"/>
    <cellStyle name="40% - Accent1 107" xfId="5130"/>
    <cellStyle name="40% - Accent1 107 2" xfId="10461"/>
    <cellStyle name="40% - Accent1 108" xfId="5144"/>
    <cellStyle name="40% - Accent1 108 2" xfId="10475"/>
    <cellStyle name="40% - Accent1 109" xfId="5158"/>
    <cellStyle name="40% - Accent1 109 2" xfId="10489"/>
    <cellStyle name="40% - Accent1 11" xfId="175"/>
    <cellStyle name="40% - Accent1 11 2" xfId="652"/>
    <cellStyle name="40% - Accent1 11 2 2" xfId="4045"/>
    <cellStyle name="40% - Accent1 11 2 2 2" xfId="9378"/>
    <cellStyle name="40% - Accent1 11 2 3" xfId="2373"/>
    <cellStyle name="40% - Accent1 11 2 3 2" xfId="7707"/>
    <cellStyle name="40% - Accent1 11 2 4" xfId="5989"/>
    <cellStyle name="40% - Accent1 11 3" xfId="4046"/>
    <cellStyle name="40% - Accent1 11 3 2" xfId="9379"/>
    <cellStyle name="40% - Accent1 11 4" xfId="2372"/>
    <cellStyle name="40% - Accent1 11 4 2" xfId="7706"/>
    <cellStyle name="40% - Accent1 11 5" xfId="5513"/>
    <cellStyle name="40% - Accent1 110" xfId="5172"/>
    <cellStyle name="40% - Accent1 110 2" xfId="10503"/>
    <cellStyle name="40% - Accent1 111" xfId="5186"/>
    <cellStyle name="40% - Accent1 111 2" xfId="10517"/>
    <cellStyle name="40% - Accent1 112" xfId="5200"/>
    <cellStyle name="40% - Accent1 112 2" xfId="10531"/>
    <cellStyle name="40% - Accent1 113" xfId="5214"/>
    <cellStyle name="40% - Accent1 113 2" xfId="10545"/>
    <cellStyle name="40% - Accent1 114" xfId="5228"/>
    <cellStyle name="40% - Accent1 114 2" xfId="10559"/>
    <cellStyle name="40% - Accent1 115" xfId="5242"/>
    <cellStyle name="40% - Accent1 115 2" xfId="10573"/>
    <cellStyle name="40% - Accent1 116" xfId="5256"/>
    <cellStyle name="40% - Accent1 116 2" xfId="10587"/>
    <cellStyle name="40% - Accent1 117" xfId="5270"/>
    <cellStyle name="40% - Accent1 117 2" xfId="10601"/>
    <cellStyle name="40% - Accent1 118" xfId="5284"/>
    <cellStyle name="40% - Accent1 118 2" xfId="10615"/>
    <cellStyle name="40% - Accent1 119" xfId="5298"/>
    <cellStyle name="40% - Accent1 119 2" xfId="10629"/>
    <cellStyle name="40% - Accent1 12" xfId="189"/>
    <cellStyle name="40% - Accent1 12 2" xfId="666"/>
    <cellStyle name="40% - Accent1 12 2 2" xfId="4047"/>
    <cellStyle name="40% - Accent1 12 2 2 2" xfId="9380"/>
    <cellStyle name="40% - Accent1 12 2 3" xfId="2375"/>
    <cellStyle name="40% - Accent1 12 2 3 2" xfId="7709"/>
    <cellStyle name="40% - Accent1 12 2 4" xfId="6003"/>
    <cellStyle name="40% - Accent1 12 3" xfId="4048"/>
    <cellStyle name="40% - Accent1 12 3 2" xfId="9381"/>
    <cellStyle name="40% - Accent1 12 4" xfId="2374"/>
    <cellStyle name="40% - Accent1 12 4 2" xfId="7708"/>
    <cellStyle name="40% - Accent1 12 5" xfId="5527"/>
    <cellStyle name="40% - Accent1 120" xfId="5312"/>
    <cellStyle name="40% - Accent1 120 2" xfId="10643"/>
    <cellStyle name="40% - Accent1 121" xfId="5326"/>
    <cellStyle name="40% - Accent1 121 2" xfId="10657"/>
    <cellStyle name="40% - Accent1 122" xfId="5340"/>
    <cellStyle name="40% - Accent1 122 2" xfId="10671"/>
    <cellStyle name="40% - Accent1 123" xfId="5359"/>
    <cellStyle name="40% - Accent1 123 2" xfId="10688"/>
    <cellStyle name="40% - Accent1 124" xfId="10702"/>
    <cellStyle name="40% - Accent1 125" xfId="5376"/>
    <cellStyle name="40% - Accent1 126" xfId="10716"/>
    <cellStyle name="40% - Accent1 127" xfId="10730"/>
    <cellStyle name="40% - Accent1 128" xfId="10744"/>
    <cellStyle name="40% - Accent1 129" xfId="10758"/>
    <cellStyle name="40% - Accent1 13" xfId="203"/>
    <cellStyle name="40% - Accent1 13 2" xfId="680"/>
    <cellStyle name="40% - Accent1 13 2 2" xfId="4049"/>
    <cellStyle name="40% - Accent1 13 2 2 2" xfId="9382"/>
    <cellStyle name="40% - Accent1 13 2 3" xfId="2377"/>
    <cellStyle name="40% - Accent1 13 2 3 2" xfId="7711"/>
    <cellStyle name="40% - Accent1 13 2 4" xfId="6017"/>
    <cellStyle name="40% - Accent1 13 3" xfId="4050"/>
    <cellStyle name="40% - Accent1 13 3 2" xfId="9383"/>
    <cellStyle name="40% - Accent1 13 4" xfId="2376"/>
    <cellStyle name="40% - Accent1 13 4 2" xfId="7710"/>
    <cellStyle name="40% - Accent1 13 5" xfId="5541"/>
    <cellStyle name="40% - Accent1 130" xfId="10772"/>
    <cellStyle name="40% - Accent1 131" xfId="10787"/>
    <cellStyle name="40% - Accent1 132" xfId="10801"/>
    <cellStyle name="40% - Accent1 133" xfId="10815"/>
    <cellStyle name="40% - Accent1 134" xfId="10829"/>
    <cellStyle name="40% - Accent1 135" xfId="10843"/>
    <cellStyle name="40% - Accent1 136" xfId="10857"/>
    <cellStyle name="40% - Accent1 137" xfId="10871"/>
    <cellStyle name="40% - Accent1 138" xfId="10885"/>
    <cellStyle name="40% - Accent1 139" xfId="10899"/>
    <cellStyle name="40% - Accent1 14" xfId="217"/>
    <cellStyle name="40% - Accent1 14 2" xfId="694"/>
    <cellStyle name="40% - Accent1 14 2 2" xfId="4051"/>
    <cellStyle name="40% - Accent1 14 2 2 2" xfId="9384"/>
    <cellStyle name="40% - Accent1 14 2 3" xfId="2379"/>
    <cellStyle name="40% - Accent1 14 2 3 2" xfId="7713"/>
    <cellStyle name="40% - Accent1 14 2 4" xfId="6031"/>
    <cellStyle name="40% - Accent1 14 3" xfId="4052"/>
    <cellStyle name="40% - Accent1 14 3 2" xfId="9385"/>
    <cellStyle name="40% - Accent1 14 4" xfId="2378"/>
    <cellStyle name="40% - Accent1 14 4 2" xfId="7712"/>
    <cellStyle name="40% - Accent1 14 5" xfId="5555"/>
    <cellStyle name="40% - Accent1 140" xfId="10913"/>
    <cellStyle name="40% - Accent1 141" xfId="10927"/>
    <cellStyle name="40% - Accent1 142" xfId="10941"/>
    <cellStyle name="40% - Accent1 143" xfId="10955"/>
    <cellStyle name="40% - Accent1 144" xfId="10969"/>
    <cellStyle name="40% - Accent1 145" xfId="10983"/>
    <cellStyle name="40% - Accent1 146" xfId="10997"/>
    <cellStyle name="40% - Accent1 147" xfId="11011"/>
    <cellStyle name="40% - Accent1 148" xfId="11025"/>
    <cellStyle name="40% - Accent1 149" xfId="11039"/>
    <cellStyle name="40% - Accent1 15" xfId="231"/>
    <cellStyle name="40% - Accent1 15 2" xfId="708"/>
    <cellStyle name="40% - Accent1 15 2 2" xfId="4053"/>
    <cellStyle name="40% - Accent1 15 2 2 2" xfId="9386"/>
    <cellStyle name="40% - Accent1 15 2 3" xfId="2381"/>
    <cellStyle name="40% - Accent1 15 2 3 2" xfId="7715"/>
    <cellStyle name="40% - Accent1 15 2 4" xfId="6045"/>
    <cellStyle name="40% - Accent1 15 3" xfId="4054"/>
    <cellStyle name="40% - Accent1 15 3 2" xfId="9387"/>
    <cellStyle name="40% - Accent1 15 4" xfId="2380"/>
    <cellStyle name="40% - Accent1 15 4 2" xfId="7714"/>
    <cellStyle name="40% - Accent1 15 5" xfId="5569"/>
    <cellStyle name="40% - Accent1 150" xfId="11053"/>
    <cellStyle name="40% - Accent1 16" xfId="245"/>
    <cellStyle name="40% - Accent1 16 2" xfId="722"/>
    <cellStyle name="40% - Accent1 16 2 2" xfId="4055"/>
    <cellStyle name="40% - Accent1 16 2 2 2" xfId="9388"/>
    <cellStyle name="40% - Accent1 16 2 3" xfId="2383"/>
    <cellStyle name="40% - Accent1 16 2 3 2" xfId="7717"/>
    <cellStyle name="40% - Accent1 16 2 4" xfId="6059"/>
    <cellStyle name="40% - Accent1 16 3" xfId="4056"/>
    <cellStyle name="40% - Accent1 16 3 2" xfId="9389"/>
    <cellStyle name="40% - Accent1 16 4" xfId="2382"/>
    <cellStyle name="40% - Accent1 16 4 2" xfId="7716"/>
    <cellStyle name="40% - Accent1 16 5" xfId="5583"/>
    <cellStyle name="40% - Accent1 17" xfId="259"/>
    <cellStyle name="40% - Accent1 17 2" xfId="736"/>
    <cellStyle name="40% - Accent1 17 2 2" xfId="4057"/>
    <cellStyle name="40% - Accent1 17 2 2 2" xfId="9390"/>
    <cellStyle name="40% - Accent1 17 2 3" xfId="2385"/>
    <cellStyle name="40% - Accent1 17 2 3 2" xfId="7719"/>
    <cellStyle name="40% - Accent1 17 2 4" xfId="6073"/>
    <cellStyle name="40% - Accent1 17 3" xfId="4058"/>
    <cellStyle name="40% - Accent1 17 3 2" xfId="9391"/>
    <cellStyle name="40% - Accent1 17 4" xfId="2384"/>
    <cellStyle name="40% - Accent1 17 4 2" xfId="7718"/>
    <cellStyle name="40% - Accent1 17 5" xfId="5597"/>
    <cellStyle name="40% - Accent1 18" xfId="273"/>
    <cellStyle name="40% - Accent1 18 2" xfId="750"/>
    <cellStyle name="40% - Accent1 18 2 2" xfId="4059"/>
    <cellStyle name="40% - Accent1 18 2 2 2" xfId="9392"/>
    <cellStyle name="40% - Accent1 18 2 3" xfId="2387"/>
    <cellStyle name="40% - Accent1 18 2 3 2" xfId="7721"/>
    <cellStyle name="40% - Accent1 18 2 4" xfId="6087"/>
    <cellStyle name="40% - Accent1 18 3" xfId="4060"/>
    <cellStyle name="40% - Accent1 18 3 2" xfId="9393"/>
    <cellStyle name="40% - Accent1 18 4" xfId="2386"/>
    <cellStyle name="40% - Accent1 18 4 2" xfId="7720"/>
    <cellStyle name="40% - Accent1 18 5" xfId="5611"/>
    <cellStyle name="40% - Accent1 19" xfId="287"/>
    <cellStyle name="40% - Accent1 19 2" xfId="764"/>
    <cellStyle name="40% - Accent1 19 2 2" xfId="4061"/>
    <cellStyle name="40% - Accent1 19 2 2 2" xfId="9394"/>
    <cellStyle name="40% - Accent1 19 2 3" xfId="2389"/>
    <cellStyle name="40% - Accent1 19 2 3 2" xfId="7723"/>
    <cellStyle name="40% - Accent1 19 2 4" xfId="6101"/>
    <cellStyle name="40% - Accent1 19 3" xfId="4062"/>
    <cellStyle name="40% - Accent1 19 3 2" xfId="9395"/>
    <cellStyle name="40% - Accent1 19 4" xfId="2388"/>
    <cellStyle name="40% - Accent1 19 4 2" xfId="7722"/>
    <cellStyle name="40% - Accent1 19 5" xfId="5625"/>
    <cellStyle name="40% - Accent1 2" xfId="49"/>
    <cellStyle name="40% - Accent1 2 2" xfId="526"/>
    <cellStyle name="40% - Accent1 2 2 2" xfId="4063"/>
    <cellStyle name="40% - Accent1 2 2 2 2" xfId="9396"/>
    <cellStyle name="40% - Accent1 2 2 3" xfId="2391"/>
    <cellStyle name="40% - Accent1 2 2 3 2" xfId="7725"/>
    <cellStyle name="40% - Accent1 2 2 4" xfId="5863"/>
    <cellStyle name="40% - Accent1 2 3" xfId="4064"/>
    <cellStyle name="40% - Accent1 2 3 2" xfId="9397"/>
    <cellStyle name="40% - Accent1 2 4" xfId="2390"/>
    <cellStyle name="40% - Accent1 2 4 2" xfId="7724"/>
    <cellStyle name="40% - Accent1 2 5" xfId="5387"/>
    <cellStyle name="40% - Accent1 20" xfId="301"/>
    <cellStyle name="40% - Accent1 20 2" xfId="778"/>
    <cellStyle name="40% - Accent1 20 2 2" xfId="4065"/>
    <cellStyle name="40% - Accent1 20 2 2 2" xfId="9398"/>
    <cellStyle name="40% - Accent1 20 2 3" xfId="2393"/>
    <cellStyle name="40% - Accent1 20 2 3 2" xfId="7727"/>
    <cellStyle name="40% - Accent1 20 2 4" xfId="6115"/>
    <cellStyle name="40% - Accent1 20 3" xfId="4066"/>
    <cellStyle name="40% - Accent1 20 3 2" xfId="9399"/>
    <cellStyle name="40% - Accent1 20 4" xfId="2392"/>
    <cellStyle name="40% - Accent1 20 4 2" xfId="7726"/>
    <cellStyle name="40% - Accent1 20 5" xfId="5639"/>
    <cellStyle name="40% - Accent1 21" xfId="316"/>
    <cellStyle name="40% - Accent1 21 2" xfId="793"/>
    <cellStyle name="40% - Accent1 21 2 2" xfId="4067"/>
    <cellStyle name="40% - Accent1 21 2 2 2" xfId="9400"/>
    <cellStyle name="40% - Accent1 21 2 3" xfId="2395"/>
    <cellStyle name="40% - Accent1 21 2 3 2" xfId="7729"/>
    <cellStyle name="40% - Accent1 21 2 4" xfId="6129"/>
    <cellStyle name="40% - Accent1 21 3" xfId="4068"/>
    <cellStyle name="40% - Accent1 21 3 2" xfId="9401"/>
    <cellStyle name="40% - Accent1 21 4" xfId="2394"/>
    <cellStyle name="40% - Accent1 21 4 2" xfId="7728"/>
    <cellStyle name="40% - Accent1 21 5" xfId="5653"/>
    <cellStyle name="40% - Accent1 22" xfId="330"/>
    <cellStyle name="40% - Accent1 22 2" xfId="807"/>
    <cellStyle name="40% - Accent1 22 2 2" xfId="4069"/>
    <cellStyle name="40% - Accent1 22 2 2 2" xfId="9402"/>
    <cellStyle name="40% - Accent1 22 2 3" xfId="2397"/>
    <cellStyle name="40% - Accent1 22 2 3 2" xfId="7731"/>
    <cellStyle name="40% - Accent1 22 2 4" xfId="6143"/>
    <cellStyle name="40% - Accent1 22 3" xfId="4070"/>
    <cellStyle name="40% - Accent1 22 3 2" xfId="9403"/>
    <cellStyle name="40% - Accent1 22 4" xfId="2396"/>
    <cellStyle name="40% - Accent1 22 4 2" xfId="7730"/>
    <cellStyle name="40% - Accent1 22 5" xfId="5667"/>
    <cellStyle name="40% - Accent1 23" xfId="344"/>
    <cellStyle name="40% - Accent1 23 2" xfId="821"/>
    <cellStyle name="40% - Accent1 23 2 2" xfId="4071"/>
    <cellStyle name="40% - Accent1 23 2 2 2" xfId="9404"/>
    <cellStyle name="40% - Accent1 23 2 3" xfId="2399"/>
    <cellStyle name="40% - Accent1 23 2 3 2" xfId="7733"/>
    <cellStyle name="40% - Accent1 23 2 4" xfId="6157"/>
    <cellStyle name="40% - Accent1 23 3" xfId="4072"/>
    <cellStyle name="40% - Accent1 23 3 2" xfId="9405"/>
    <cellStyle name="40% - Accent1 23 4" xfId="2398"/>
    <cellStyle name="40% - Accent1 23 4 2" xfId="7732"/>
    <cellStyle name="40% - Accent1 23 5" xfId="5681"/>
    <cellStyle name="40% - Accent1 24" xfId="358"/>
    <cellStyle name="40% - Accent1 24 2" xfId="835"/>
    <cellStyle name="40% - Accent1 24 2 2" xfId="4073"/>
    <cellStyle name="40% - Accent1 24 2 2 2" xfId="9406"/>
    <cellStyle name="40% - Accent1 24 2 3" xfId="2401"/>
    <cellStyle name="40% - Accent1 24 2 3 2" xfId="7735"/>
    <cellStyle name="40% - Accent1 24 2 4" xfId="6171"/>
    <cellStyle name="40% - Accent1 24 3" xfId="4074"/>
    <cellStyle name="40% - Accent1 24 3 2" xfId="9407"/>
    <cellStyle name="40% - Accent1 24 4" xfId="2400"/>
    <cellStyle name="40% - Accent1 24 4 2" xfId="7734"/>
    <cellStyle name="40% - Accent1 24 5" xfId="5695"/>
    <cellStyle name="40% - Accent1 25" xfId="372"/>
    <cellStyle name="40% - Accent1 25 2" xfId="849"/>
    <cellStyle name="40% - Accent1 25 2 2" xfId="4075"/>
    <cellStyle name="40% - Accent1 25 2 2 2" xfId="9408"/>
    <cellStyle name="40% - Accent1 25 2 3" xfId="2403"/>
    <cellStyle name="40% - Accent1 25 2 3 2" xfId="7737"/>
    <cellStyle name="40% - Accent1 25 2 4" xfId="6185"/>
    <cellStyle name="40% - Accent1 25 3" xfId="4076"/>
    <cellStyle name="40% - Accent1 25 3 2" xfId="9409"/>
    <cellStyle name="40% - Accent1 25 4" xfId="2402"/>
    <cellStyle name="40% - Accent1 25 4 2" xfId="7736"/>
    <cellStyle name="40% - Accent1 25 5" xfId="5709"/>
    <cellStyle name="40% - Accent1 26" xfId="386"/>
    <cellStyle name="40% - Accent1 26 2" xfId="863"/>
    <cellStyle name="40% - Accent1 26 2 2" xfId="4077"/>
    <cellStyle name="40% - Accent1 26 2 2 2" xfId="9410"/>
    <cellStyle name="40% - Accent1 26 2 3" xfId="2405"/>
    <cellStyle name="40% - Accent1 26 2 3 2" xfId="7739"/>
    <cellStyle name="40% - Accent1 26 2 4" xfId="6199"/>
    <cellStyle name="40% - Accent1 26 3" xfId="4078"/>
    <cellStyle name="40% - Accent1 26 3 2" xfId="9411"/>
    <cellStyle name="40% - Accent1 26 4" xfId="2404"/>
    <cellStyle name="40% - Accent1 26 4 2" xfId="7738"/>
    <cellStyle name="40% - Accent1 26 5" xfId="5723"/>
    <cellStyle name="40% - Accent1 27" xfId="400"/>
    <cellStyle name="40% - Accent1 27 2" xfId="877"/>
    <cellStyle name="40% - Accent1 27 2 2" xfId="4079"/>
    <cellStyle name="40% - Accent1 27 2 2 2" xfId="9412"/>
    <cellStyle name="40% - Accent1 27 2 3" xfId="2407"/>
    <cellStyle name="40% - Accent1 27 2 3 2" xfId="7741"/>
    <cellStyle name="40% - Accent1 27 2 4" xfId="6213"/>
    <cellStyle name="40% - Accent1 27 3" xfId="4080"/>
    <cellStyle name="40% - Accent1 27 3 2" xfId="9413"/>
    <cellStyle name="40% - Accent1 27 4" xfId="2406"/>
    <cellStyle name="40% - Accent1 27 4 2" xfId="7740"/>
    <cellStyle name="40% - Accent1 27 5" xfId="5737"/>
    <cellStyle name="40% - Accent1 28" xfId="414"/>
    <cellStyle name="40% - Accent1 28 2" xfId="891"/>
    <cellStyle name="40% - Accent1 28 2 2" xfId="4081"/>
    <cellStyle name="40% - Accent1 28 2 2 2" xfId="9414"/>
    <cellStyle name="40% - Accent1 28 2 3" xfId="2409"/>
    <cellStyle name="40% - Accent1 28 2 3 2" xfId="7743"/>
    <cellStyle name="40% - Accent1 28 2 4" xfId="6227"/>
    <cellStyle name="40% - Accent1 28 3" xfId="4082"/>
    <cellStyle name="40% - Accent1 28 3 2" xfId="9415"/>
    <cellStyle name="40% - Accent1 28 4" xfId="2408"/>
    <cellStyle name="40% - Accent1 28 4 2" xfId="7742"/>
    <cellStyle name="40% - Accent1 28 5" xfId="5751"/>
    <cellStyle name="40% - Accent1 29" xfId="428"/>
    <cellStyle name="40% - Accent1 29 2" xfId="905"/>
    <cellStyle name="40% - Accent1 29 2 2" xfId="4083"/>
    <cellStyle name="40% - Accent1 29 2 2 2" xfId="9416"/>
    <cellStyle name="40% - Accent1 29 2 3" xfId="2411"/>
    <cellStyle name="40% - Accent1 29 2 3 2" xfId="7745"/>
    <cellStyle name="40% - Accent1 29 2 4" xfId="6241"/>
    <cellStyle name="40% - Accent1 29 3" xfId="4084"/>
    <cellStyle name="40% - Accent1 29 3 2" xfId="9417"/>
    <cellStyle name="40% - Accent1 29 4" xfId="2410"/>
    <cellStyle name="40% - Accent1 29 4 2" xfId="7744"/>
    <cellStyle name="40% - Accent1 29 5" xfId="5765"/>
    <cellStyle name="40% - Accent1 3" xfId="63"/>
    <cellStyle name="40% - Accent1 3 2" xfId="540"/>
    <cellStyle name="40% - Accent1 3 2 2" xfId="4085"/>
    <cellStyle name="40% - Accent1 3 2 2 2" xfId="9418"/>
    <cellStyle name="40% - Accent1 3 2 3" xfId="2413"/>
    <cellStyle name="40% - Accent1 3 2 3 2" xfId="7747"/>
    <cellStyle name="40% - Accent1 3 2 4" xfId="5877"/>
    <cellStyle name="40% - Accent1 3 3" xfId="4086"/>
    <cellStyle name="40% - Accent1 3 3 2" xfId="9419"/>
    <cellStyle name="40% - Accent1 3 4" xfId="2412"/>
    <cellStyle name="40% - Accent1 3 4 2" xfId="7746"/>
    <cellStyle name="40% - Accent1 3 5" xfId="5401"/>
    <cellStyle name="40% - Accent1 30" xfId="442"/>
    <cellStyle name="40% - Accent1 30 2" xfId="919"/>
    <cellStyle name="40% - Accent1 30 2 2" xfId="4087"/>
    <cellStyle name="40% - Accent1 30 2 2 2" xfId="9420"/>
    <cellStyle name="40% - Accent1 30 2 3" xfId="2415"/>
    <cellStyle name="40% - Accent1 30 2 3 2" xfId="7749"/>
    <cellStyle name="40% - Accent1 30 2 4" xfId="6255"/>
    <cellStyle name="40% - Accent1 30 3" xfId="4088"/>
    <cellStyle name="40% - Accent1 30 3 2" xfId="9421"/>
    <cellStyle name="40% - Accent1 30 4" xfId="2414"/>
    <cellStyle name="40% - Accent1 30 4 2" xfId="7748"/>
    <cellStyle name="40% - Accent1 30 5" xfId="5779"/>
    <cellStyle name="40% - Accent1 31" xfId="456"/>
    <cellStyle name="40% - Accent1 31 2" xfId="933"/>
    <cellStyle name="40% - Accent1 31 2 2" xfId="4089"/>
    <cellStyle name="40% - Accent1 31 2 2 2" xfId="9422"/>
    <cellStyle name="40% - Accent1 31 2 3" xfId="2417"/>
    <cellStyle name="40% - Accent1 31 2 3 2" xfId="7751"/>
    <cellStyle name="40% - Accent1 31 2 4" xfId="6269"/>
    <cellStyle name="40% - Accent1 31 3" xfId="4090"/>
    <cellStyle name="40% - Accent1 31 3 2" xfId="9423"/>
    <cellStyle name="40% - Accent1 31 4" xfId="2416"/>
    <cellStyle name="40% - Accent1 31 4 2" xfId="7750"/>
    <cellStyle name="40% - Accent1 31 5" xfId="5793"/>
    <cellStyle name="40% - Accent1 32" xfId="470"/>
    <cellStyle name="40% - Accent1 32 2" xfId="947"/>
    <cellStyle name="40% - Accent1 32 2 2" xfId="4091"/>
    <cellStyle name="40% - Accent1 32 2 2 2" xfId="9424"/>
    <cellStyle name="40% - Accent1 32 2 3" xfId="2419"/>
    <cellStyle name="40% - Accent1 32 2 3 2" xfId="7753"/>
    <cellStyle name="40% - Accent1 32 2 4" xfId="6283"/>
    <cellStyle name="40% - Accent1 32 3" xfId="4092"/>
    <cellStyle name="40% - Accent1 32 3 2" xfId="9425"/>
    <cellStyle name="40% - Accent1 32 4" xfId="2418"/>
    <cellStyle name="40% - Accent1 32 4 2" xfId="7752"/>
    <cellStyle name="40% - Accent1 32 5" xfId="5807"/>
    <cellStyle name="40% - Accent1 33" xfId="484"/>
    <cellStyle name="40% - Accent1 33 2" xfId="961"/>
    <cellStyle name="40% - Accent1 33 2 2" xfId="4093"/>
    <cellStyle name="40% - Accent1 33 2 2 2" xfId="9426"/>
    <cellStyle name="40% - Accent1 33 2 3" xfId="2421"/>
    <cellStyle name="40% - Accent1 33 2 3 2" xfId="7755"/>
    <cellStyle name="40% - Accent1 33 2 4" xfId="6297"/>
    <cellStyle name="40% - Accent1 33 3" xfId="4094"/>
    <cellStyle name="40% - Accent1 33 3 2" xfId="9427"/>
    <cellStyle name="40% - Accent1 33 4" xfId="2420"/>
    <cellStyle name="40% - Accent1 33 4 2" xfId="7754"/>
    <cellStyle name="40% - Accent1 33 5" xfId="5821"/>
    <cellStyle name="40% - Accent1 34" xfId="498"/>
    <cellStyle name="40% - Accent1 34 2" xfId="975"/>
    <cellStyle name="40% - Accent1 34 2 2" xfId="4095"/>
    <cellStyle name="40% - Accent1 34 2 2 2" xfId="9428"/>
    <cellStyle name="40% - Accent1 34 2 3" xfId="2423"/>
    <cellStyle name="40% - Accent1 34 2 3 2" xfId="7757"/>
    <cellStyle name="40% - Accent1 34 2 4" xfId="6311"/>
    <cellStyle name="40% - Accent1 34 3" xfId="4096"/>
    <cellStyle name="40% - Accent1 34 3 2" xfId="9429"/>
    <cellStyle name="40% - Accent1 34 4" xfId="2422"/>
    <cellStyle name="40% - Accent1 34 4 2" xfId="7756"/>
    <cellStyle name="40% - Accent1 34 5" xfId="5835"/>
    <cellStyle name="40% - Accent1 35" xfId="989"/>
    <cellStyle name="40% - Accent1 35 2" xfId="4097"/>
    <cellStyle name="40% - Accent1 35 2 2" xfId="9430"/>
    <cellStyle name="40% - Accent1 35 3" xfId="2424"/>
    <cellStyle name="40% - Accent1 35 3 2" xfId="7758"/>
    <cellStyle name="40% - Accent1 35 4" xfId="6325"/>
    <cellStyle name="40% - Accent1 36" xfId="1003"/>
    <cellStyle name="40% - Accent1 36 2" xfId="4098"/>
    <cellStyle name="40% - Accent1 36 2 2" xfId="9431"/>
    <cellStyle name="40% - Accent1 36 3" xfId="2425"/>
    <cellStyle name="40% - Accent1 36 3 2" xfId="7759"/>
    <cellStyle name="40% - Accent1 36 4" xfId="6339"/>
    <cellStyle name="40% - Accent1 37" xfId="1017"/>
    <cellStyle name="40% - Accent1 37 2" xfId="4099"/>
    <cellStyle name="40% - Accent1 37 2 2" xfId="9432"/>
    <cellStyle name="40% - Accent1 37 3" xfId="2426"/>
    <cellStyle name="40% - Accent1 37 3 2" xfId="7760"/>
    <cellStyle name="40% - Accent1 37 4" xfId="6353"/>
    <cellStyle name="40% - Accent1 38" xfId="515"/>
    <cellStyle name="40% - Accent1 38 2" xfId="4100"/>
    <cellStyle name="40% - Accent1 38 2 2" xfId="9433"/>
    <cellStyle name="40% - Accent1 38 3" xfId="2427"/>
    <cellStyle name="40% - Accent1 38 3 2" xfId="7761"/>
    <cellStyle name="40% - Accent1 38 4" xfId="5852"/>
    <cellStyle name="40% - Accent1 39" xfId="1031"/>
    <cellStyle name="40% - Accent1 39 2" xfId="4101"/>
    <cellStyle name="40% - Accent1 39 2 2" xfId="9434"/>
    <cellStyle name="40% - Accent1 39 3" xfId="3148"/>
    <cellStyle name="40% - Accent1 39 3 2" xfId="8482"/>
    <cellStyle name="40% - Accent1 39 4" xfId="6367"/>
    <cellStyle name="40% - Accent1 4" xfId="77"/>
    <cellStyle name="40% - Accent1 4 2" xfId="554"/>
    <cellStyle name="40% - Accent1 4 2 2" xfId="4102"/>
    <cellStyle name="40% - Accent1 4 2 2 2" xfId="9435"/>
    <cellStyle name="40% - Accent1 4 2 3" xfId="2429"/>
    <cellStyle name="40% - Accent1 4 2 3 2" xfId="7763"/>
    <cellStyle name="40% - Accent1 4 2 4" xfId="5891"/>
    <cellStyle name="40% - Accent1 4 3" xfId="4103"/>
    <cellStyle name="40% - Accent1 4 3 2" xfId="9436"/>
    <cellStyle name="40% - Accent1 4 4" xfId="2428"/>
    <cellStyle name="40% - Accent1 4 4 2" xfId="7762"/>
    <cellStyle name="40% - Accent1 4 5" xfId="5415"/>
    <cellStyle name="40% - Accent1 40" xfId="1045"/>
    <cellStyle name="40% - Accent1 40 2" xfId="4104"/>
    <cellStyle name="40% - Accent1 40 2 2" xfId="9437"/>
    <cellStyle name="40% - Accent1 40 3" xfId="3149"/>
    <cellStyle name="40% - Accent1 40 3 2" xfId="8483"/>
    <cellStyle name="40% - Accent1 40 4" xfId="6381"/>
    <cellStyle name="40% - Accent1 41" xfId="1059"/>
    <cellStyle name="40% - Accent1 41 2" xfId="4105"/>
    <cellStyle name="40% - Accent1 41 2 2" xfId="9438"/>
    <cellStyle name="40% - Accent1 41 3" xfId="3150"/>
    <cellStyle name="40% - Accent1 41 3 2" xfId="8484"/>
    <cellStyle name="40% - Accent1 41 4" xfId="6395"/>
    <cellStyle name="40% - Accent1 42" xfId="1073"/>
    <cellStyle name="40% - Accent1 42 2" xfId="4106"/>
    <cellStyle name="40% - Accent1 42 2 2" xfId="9439"/>
    <cellStyle name="40% - Accent1 42 3" xfId="3151"/>
    <cellStyle name="40% - Accent1 42 3 2" xfId="8485"/>
    <cellStyle name="40% - Accent1 42 4" xfId="6409"/>
    <cellStyle name="40% - Accent1 43" xfId="1087"/>
    <cellStyle name="40% - Accent1 43 2" xfId="4107"/>
    <cellStyle name="40% - Accent1 43 2 2" xfId="9440"/>
    <cellStyle name="40% - Accent1 43 3" xfId="3152"/>
    <cellStyle name="40% - Accent1 43 3 2" xfId="8486"/>
    <cellStyle name="40% - Accent1 43 4" xfId="6423"/>
    <cellStyle name="40% - Accent1 44" xfId="1101"/>
    <cellStyle name="40% - Accent1 44 2" xfId="4108"/>
    <cellStyle name="40% - Accent1 44 2 2" xfId="9441"/>
    <cellStyle name="40% - Accent1 44 3" xfId="3153"/>
    <cellStyle name="40% - Accent1 44 3 2" xfId="8487"/>
    <cellStyle name="40% - Accent1 44 4" xfId="6437"/>
    <cellStyle name="40% - Accent1 45" xfId="1115"/>
    <cellStyle name="40% - Accent1 45 2" xfId="4109"/>
    <cellStyle name="40% - Accent1 45 2 2" xfId="9442"/>
    <cellStyle name="40% - Accent1 45 3" xfId="3154"/>
    <cellStyle name="40% - Accent1 45 3 2" xfId="8488"/>
    <cellStyle name="40% - Accent1 45 4" xfId="6451"/>
    <cellStyle name="40% - Accent1 46" xfId="1129"/>
    <cellStyle name="40% - Accent1 46 2" xfId="4110"/>
    <cellStyle name="40% - Accent1 46 2 2" xfId="9443"/>
    <cellStyle name="40% - Accent1 46 3" xfId="3155"/>
    <cellStyle name="40% - Accent1 46 3 2" xfId="8489"/>
    <cellStyle name="40% - Accent1 46 4" xfId="6465"/>
    <cellStyle name="40% - Accent1 47" xfId="1143"/>
    <cellStyle name="40% - Accent1 47 2" xfId="4111"/>
    <cellStyle name="40% - Accent1 47 2 2" xfId="9444"/>
    <cellStyle name="40% - Accent1 47 3" xfId="3156"/>
    <cellStyle name="40% - Accent1 47 3 2" xfId="8490"/>
    <cellStyle name="40% - Accent1 47 4" xfId="6479"/>
    <cellStyle name="40% - Accent1 48" xfId="1157"/>
    <cellStyle name="40% - Accent1 48 2" xfId="4112"/>
    <cellStyle name="40% - Accent1 48 2 2" xfId="9445"/>
    <cellStyle name="40% - Accent1 48 3" xfId="3157"/>
    <cellStyle name="40% - Accent1 48 3 2" xfId="8491"/>
    <cellStyle name="40% - Accent1 48 4" xfId="6493"/>
    <cellStyle name="40% - Accent1 49" xfId="1171"/>
    <cellStyle name="40% - Accent1 49 2" xfId="4113"/>
    <cellStyle name="40% - Accent1 49 2 2" xfId="9446"/>
    <cellStyle name="40% - Accent1 49 3" xfId="3158"/>
    <cellStyle name="40% - Accent1 49 3 2" xfId="8492"/>
    <cellStyle name="40% - Accent1 49 4" xfId="6507"/>
    <cellStyle name="40% - Accent1 5" xfId="91"/>
    <cellStyle name="40% - Accent1 5 2" xfId="568"/>
    <cellStyle name="40% - Accent1 5 2 2" xfId="4114"/>
    <cellStyle name="40% - Accent1 5 2 2 2" xfId="9447"/>
    <cellStyle name="40% - Accent1 5 2 3" xfId="2431"/>
    <cellStyle name="40% - Accent1 5 2 3 2" xfId="7765"/>
    <cellStyle name="40% - Accent1 5 2 4" xfId="5905"/>
    <cellStyle name="40% - Accent1 5 3" xfId="4115"/>
    <cellStyle name="40% - Accent1 5 3 2" xfId="9448"/>
    <cellStyle name="40% - Accent1 5 4" xfId="2430"/>
    <cellStyle name="40% - Accent1 5 4 2" xfId="7764"/>
    <cellStyle name="40% - Accent1 5 5" xfId="5429"/>
    <cellStyle name="40% - Accent1 50" xfId="1185"/>
    <cellStyle name="40% - Accent1 50 2" xfId="4116"/>
    <cellStyle name="40% - Accent1 50 2 2" xfId="9449"/>
    <cellStyle name="40% - Accent1 50 3" xfId="3159"/>
    <cellStyle name="40% - Accent1 50 3 2" xfId="8493"/>
    <cellStyle name="40% - Accent1 50 4" xfId="6521"/>
    <cellStyle name="40% - Accent1 51" xfId="1199"/>
    <cellStyle name="40% - Accent1 51 2" xfId="4117"/>
    <cellStyle name="40% - Accent1 51 2 2" xfId="9450"/>
    <cellStyle name="40% - Accent1 51 3" xfId="3160"/>
    <cellStyle name="40% - Accent1 51 3 2" xfId="8494"/>
    <cellStyle name="40% - Accent1 51 4" xfId="6535"/>
    <cellStyle name="40% - Accent1 52" xfId="1213"/>
    <cellStyle name="40% - Accent1 52 2" xfId="4118"/>
    <cellStyle name="40% - Accent1 52 2 2" xfId="9451"/>
    <cellStyle name="40% - Accent1 52 3" xfId="3161"/>
    <cellStyle name="40% - Accent1 52 3 2" xfId="8495"/>
    <cellStyle name="40% - Accent1 52 4" xfId="6549"/>
    <cellStyle name="40% - Accent1 53" xfId="1227"/>
    <cellStyle name="40% - Accent1 53 2" xfId="4119"/>
    <cellStyle name="40% - Accent1 53 2 2" xfId="9452"/>
    <cellStyle name="40% - Accent1 53 3" xfId="3162"/>
    <cellStyle name="40% - Accent1 53 3 2" xfId="8496"/>
    <cellStyle name="40% - Accent1 53 4" xfId="6563"/>
    <cellStyle name="40% - Accent1 54" xfId="1241"/>
    <cellStyle name="40% - Accent1 54 2" xfId="4120"/>
    <cellStyle name="40% - Accent1 54 2 2" xfId="9453"/>
    <cellStyle name="40% - Accent1 54 3" xfId="3163"/>
    <cellStyle name="40% - Accent1 54 3 2" xfId="8497"/>
    <cellStyle name="40% - Accent1 54 4" xfId="6577"/>
    <cellStyle name="40% - Accent1 55" xfId="1255"/>
    <cellStyle name="40% - Accent1 55 2" xfId="4121"/>
    <cellStyle name="40% - Accent1 55 2 2" xfId="9454"/>
    <cellStyle name="40% - Accent1 55 3" xfId="3164"/>
    <cellStyle name="40% - Accent1 55 3 2" xfId="8498"/>
    <cellStyle name="40% - Accent1 55 4" xfId="6591"/>
    <cellStyle name="40% - Accent1 56" xfId="1269"/>
    <cellStyle name="40% - Accent1 56 2" xfId="4122"/>
    <cellStyle name="40% - Accent1 56 2 2" xfId="9455"/>
    <cellStyle name="40% - Accent1 56 3" xfId="3165"/>
    <cellStyle name="40% - Accent1 56 3 2" xfId="8499"/>
    <cellStyle name="40% - Accent1 56 4" xfId="6605"/>
    <cellStyle name="40% - Accent1 57" xfId="1283"/>
    <cellStyle name="40% - Accent1 57 2" xfId="4123"/>
    <cellStyle name="40% - Accent1 57 2 2" xfId="9456"/>
    <cellStyle name="40% - Accent1 57 3" xfId="3166"/>
    <cellStyle name="40% - Accent1 57 3 2" xfId="8500"/>
    <cellStyle name="40% - Accent1 57 4" xfId="6619"/>
    <cellStyle name="40% - Accent1 58" xfId="1297"/>
    <cellStyle name="40% - Accent1 58 2" xfId="4124"/>
    <cellStyle name="40% - Accent1 58 2 2" xfId="9457"/>
    <cellStyle name="40% - Accent1 58 3" xfId="3167"/>
    <cellStyle name="40% - Accent1 58 3 2" xfId="8501"/>
    <cellStyle name="40% - Accent1 58 4" xfId="6633"/>
    <cellStyle name="40% - Accent1 59" xfId="1311"/>
    <cellStyle name="40% - Accent1 59 2" xfId="4125"/>
    <cellStyle name="40% - Accent1 59 2 2" xfId="9458"/>
    <cellStyle name="40% - Accent1 59 3" xfId="3168"/>
    <cellStyle name="40% - Accent1 59 3 2" xfId="8502"/>
    <cellStyle name="40% - Accent1 59 4" xfId="6647"/>
    <cellStyle name="40% - Accent1 6" xfId="105"/>
    <cellStyle name="40% - Accent1 6 2" xfId="582"/>
    <cellStyle name="40% - Accent1 6 2 2" xfId="4126"/>
    <cellStyle name="40% - Accent1 6 2 2 2" xfId="9459"/>
    <cellStyle name="40% - Accent1 6 2 3" xfId="2433"/>
    <cellStyle name="40% - Accent1 6 2 3 2" xfId="7767"/>
    <cellStyle name="40% - Accent1 6 2 4" xfId="5919"/>
    <cellStyle name="40% - Accent1 6 3" xfId="4127"/>
    <cellStyle name="40% - Accent1 6 3 2" xfId="9460"/>
    <cellStyle name="40% - Accent1 6 4" xfId="2432"/>
    <cellStyle name="40% - Accent1 6 4 2" xfId="7766"/>
    <cellStyle name="40% - Accent1 6 5" xfId="5443"/>
    <cellStyle name="40% - Accent1 60" xfId="1325"/>
    <cellStyle name="40% - Accent1 60 2" xfId="4128"/>
    <cellStyle name="40% - Accent1 60 2 2" xfId="9461"/>
    <cellStyle name="40% - Accent1 60 3" xfId="3169"/>
    <cellStyle name="40% - Accent1 60 3 2" xfId="8503"/>
    <cellStyle name="40% - Accent1 60 4" xfId="6661"/>
    <cellStyle name="40% - Accent1 61" xfId="1339"/>
    <cellStyle name="40% - Accent1 61 2" xfId="4129"/>
    <cellStyle name="40% - Accent1 61 2 2" xfId="9462"/>
    <cellStyle name="40% - Accent1 61 3" xfId="3170"/>
    <cellStyle name="40% - Accent1 61 3 2" xfId="8504"/>
    <cellStyle name="40% - Accent1 61 4" xfId="6675"/>
    <cellStyle name="40% - Accent1 62" xfId="1353"/>
    <cellStyle name="40% - Accent1 62 2" xfId="3171"/>
    <cellStyle name="40% - Accent1 62 2 2" xfId="8505"/>
    <cellStyle name="40% - Accent1 62 3" xfId="6689"/>
    <cellStyle name="40% - Accent1 63" xfId="1367"/>
    <cellStyle name="40% - Accent1 63 2" xfId="3172"/>
    <cellStyle name="40% - Accent1 63 2 2" xfId="8506"/>
    <cellStyle name="40% - Accent1 63 3" xfId="6703"/>
    <cellStyle name="40% - Accent1 64" xfId="1381"/>
    <cellStyle name="40% - Accent1 64 2" xfId="3173"/>
    <cellStyle name="40% - Accent1 64 2 2" xfId="8507"/>
    <cellStyle name="40% - Accent1 64 3" xfId="6717"/>
    <cellStyle name="40% - Accent1 65" xfId="1395"/>
    <cellStyle name="40% - Accent1 65 2" xfId="3174"/>
    <cellStyle name="40% - Accent1 65 2 2" xfId="8508"/>
    <cellStyle name="40% - Accent1 65 3" xfId="6731"/>
    <cellStyle name="40% - Accent1 66" xfId="1409"/>
    <cellStyle name="40% - Accent1 66 2" xfId="3175"/>
    <cellStyle name="40% - Accent1 66 2 2" xfId="8509"/>
    <cellStyle name="40% - Accent1 66 3" xfId="6745"/>
    <cellStyle name="40% - Accent1 67" xfId="1423"/>
    <cellStyle name="40% - Accent1 67 2" xfId="3176"/>
    <cellStyle name="40% - Accent1 67 2 2" xfId="8510"/>
    <cellStyle name="40% - Accent1 67 3" xfId="6759"/>
    <cellStyle name="40% - Accent1 68" xfId="1437"/>
    <cellStyle name="40% - Accent1 68 2" xfId="3177"/>
    <cellStyle name="40% - Accent1 68 2 2" xfId="8511"/>
    <cellStyle name="40% - Accent1 68 3" xfId="6773"/>
    <cellStyle name="40% - Accent1 69" xfId="1451"/>
    <cellStyle name="40% - Accent1 69 2" xfId="3178"/>
    <cellStyle name="40% - Accent1 69 2 2" xfId="8512"/>
    <cellStyle name="40% - Accent1 69 3" xfId="6787"/>
    <cellStyle name="40% - Accent1 7" xfId="119"/>
    <cellStyle name="40% - Accent1 7 2" xfId="596"/>
    <cellStyle name="40% - Accent1 7 2 2" xfId="4130"/>
    <cellStyle name="40% - Accent1 7 2 2 2" xfId="9463"/>
    <cellStyle name="40% - Accent1 7 2 3" xfId="2435"/>
    <cellStyle name="40% - Accent1 7 2 3 2" xfId="7769"/>
    <cellStyle name="40% - Accent1 7 2 4" xfId="5933"/>
    <cellStyle name="40% - Accent1 7 3" xfId="4131"/>
    <cellStyle name="40% - Accent1 7 3 2" xfId="9464"/>
    <cellStyle name="40% - Accent1 7 4" xfId="2434"/>
    <cellStyle name="40% - Accent1 7 4 2" xfId="7768"/>
    <cellStyle name="40% - Accent1 7 5" xfId="5457"/>
    <cellStyle name="40% - Accent1 70" xfId="1465"/>
    <cellStyle name="40% - Accent1 70 2" xfId="3179"/>
    <cellStyle name="40% - Accent1 70 2 2" xfId="8513"/>
    <cellStyle name="40% - Accent1 70 3" xfId="6801"/>
    <cellStyle name="40% - Accent1 71" xfId="1479"/>
    <cellStyle name="40% - Accent1 71 2" xfId="3180"/>
    <cellStyle name="40% - Accent1 71 2 2" xfId="8514"/>
    <cellStyle name="40% - Accent1 71 3" xfId="6815"/>
    <cellStyle name="40% - Accent1 72" xfId="1493"/>
    <cellStyle name="40% - Accent1 72 2" xfId="3181"/>
    <cellStyle name="40% - Accent1 72 2 2" xfId="8515"/>
    <cellStyle name="40% - Accent1 72 3" xfId="6829"/>
    <cellStyle name="40% - Accent1 73" xfId="1507"/>
    <cellStyle name="40% - Accent1 73 2" xfId="3182"/>
    <cellStyle name="40% - Accent1 73 2 2" xfId="8516"/>
    <cellStyle name="40% - Accent1 73 3" xfId="6843"/>
    <cellStyle name="40% - Accent1 74" xfId="1521"/>
    <cellStyle name="40% - Accent1 74 2" xfId="3183"/>
    <cellStyle name="40% - Accent1 74 2 2" xfId="8517"/>
    <cellStyle name="40% - Accent1 74 3" xfId="6857"/>
    <cellStyle name="40% - Accent1 75" xfId="1535"/>
    <cellStyle name="40% - Accent1 75 2" xfId="3184"/>
    <cellStyle name="40% - Accent1 75 2 2" xfId="8518"/>
    <cellStyle name="40% - Accent1 75 3" xfId="6871"/>
    <cellStyle name="40% - Accent1 76" xfId="1549"/>
    <cellStyle name="40% - Accent1 76 2" xfId="3456"/>
    <cellStyle name="40% - Accent1 76 2 2" xfId="8790"/>
    <cellStyle name="40% - Accent1 76 3" xfId="6885"/>
    <cellStyle name="40% - Accent1 77" xfId="1563"/>
    <cellStyle name="40% - Accent1 77 2" xfId="3457"/>
    <cellStyle name="40% - Accent1 77 2 2" xfId="8791"/>
    <cellStyle name="40% - Accent1 77 3" xfId="6899"/>
    <cellStyle name="40% - Accent1 78" xfId="1577"/>
    <cellStyle name="40% - Accent1 78 2" xfId="3458"/>
    <cellStyle name="40% - Accent1 78 2 2" xfId="8792"/>
    <cellStyle name="40% - Accent1 78 3" xfId="6913"/>
    <cellStyle name="40% - Accent1 79" xfId="1591"/>
    <cellStyle name="40% - Accent1 79 2" xfId="3459"/>
    <cellStyle name="40% - Accent1 79 2 2" xfId="8793"/>
    <cellStyle name="40% - Accent1 79 3" xfId="6927"/>
    <cellStyle name="40% - Accent1 8" xfId="133"/>
    <cellStyle name="40% - Accent1 8 2" xfId="610"/>
    <cellStyle name="40% - Accent1 8 2 2" xfId="4132"/>
    <cellStyle name="40% - Accent1 8 2 2 2" xfId="9465"/>
    <cellStyle name="40% - Accent1 8 2 3" xfId="2437"/>
    <cellStyle name="40% - Accent1 8 2 3 2" xfId="7771"/>
    <cellStyle name="40% - Accent1 8 2 4" xfId="5947"/>
    <cellStyle name="40% - Accent1 8 3" xfId="4133"/>
    <cellStyle name="40% - Accent1 8 3 2" xfId="9466"/>
    <cellStyle name="40% - Accent1 8 4" xfId="2436"/>
    <cellStyle name="40% - Accent1 8 4 2" xfId="7770"/>
    <cellStyle name="40% - Accent1 8 5" xfId="5471"/>
    <cellStyle name="40% - Accent1 80" xfId="1605"/>
    <cellStyle name="40% - Accent1 80 2" xfId="4824"/>
    <cellStyle name="40% - Accent1 80 2 2" xfId="10157"/>
    <cellStyle name="40% - Accent1 80 3" xfId="6941"/>
    <cellStyle name="40% - Accent1 81" xfId="1619"/>
    <cellStyle name="40% - Accent1 81 2" xfId="4825"/>
    <cellStyle name="40% - Accent1 81 2 2" xfId="10158"/>
    <cellStyle name="40% - Accent1 81 3" xfId="6955"/>
    <cellStyle name="40% - Accent1 82" xfId="1633"/>
    <cellStyle name="40% - Accent1 82 2" xfId="4826"/>
    <cellStyle name="40% - Accent1 82 2 2" xfId="10159"/>
    <cellStyle name="40% - Accent1 82 3" xfId="6969"/>
    <cellStyle name="40% - Accent1 83" xfId="1647"/>
    <cellStyle name="40% - Accent1 83 2" xfId="4827"/>
    <cellStyle name="40% - Accent1 83 2 2" xfId="10160"/>
    <cellStyle name="40% - Accent1 83 3" xfId="6983"/>
    <cellStyle name="40% - Accent1 84" xfId="1661"/>
    <cellStyle name="40% - Accent1 84 2" xfId="4828"/>
    <cellStyle name="40% - Accent1 84 2 2" xfId="10161"/>
    <cellStyle name="40% - Accent1 84 3" xfId="6997"/>
    <cellStyle name="40% - Accent1 85" xfId="1675"/>
    <cellStyle name="40% - Accent1 85 2" xfId="4880"/>
    <cellStyle name="40% - Accent1 85 2 2" xfId="10213"/>
    <cellStyle name="40% - Accent1 85 3" xfId="7011"/>
    <cellStyle name="40% - Accent1 86" xfId="1689"/>
    <cellStyle name="40% - Accent1 86 2" xfId="4881"/>
    <cellStyle name="40% - Accent1 86 2 2" xfId="10214"/>
    <cellStyle name="40% - Accent1 86 3" xfId="7025"/>
    <cellStyle name="40% - Accent1 87" xfId="1703"/>
    <cellStyle name="40% - Accent1 87 2" xfId="4882"/>
    <cellStyle name="40% - Accent1 87 2 2" xfId="10215"/>
    <cellStyle name="40% - Accent1 87 3" xfId="7039"/>
    <cellStyle name="40% - Accent1 88" xfId="1717"/>
    <cellStyle name="40% - Accent1 88 2" xfId="4942"/>
    <cellStyle name="40% - Accent1 88 2 2" xfId="10275"/>
    <cellStyle name="40% - Accent1 88 3" xfId="7053"/>
    <cellStyle name="40% - Accent1 89" xfId="1731"/>
    <cellStyle name="40% - Accent1 89 2" xfId="4943"/>
    <cellStyle name="40% - Accent1 89 2 2" xfId="10276"/>
    <cellStyle name="40% - Accent1 89 3" xfId="7067"/>
    <cellStyle name="40% - Accent1 9" xfId="147"/>
    <cellStyle name="40% - Accent1 9 2" xfId="624"/>
    <cellStyle name="40% - Accent1 9 2 2" xfId="4134"/>
    <cellStyle name="40% - Accent1 9 2 2 2" xfId="9467"/>
    <cellStyle name="40% - Accent1 9 2 3" xfId="2439"/>
    <cellStyle name="40% - Accent1 9 2 3 2" xfId="7773"/>
    <cellStyle name="40% - Accent1 9 2 4" xfId="5961"/>
    <cellStyle name="40% - Accent1 9 3" xfId="4135"/>
    <cellStyle name="40% - Accent1 9 3 2" xfId="9468"/>
    <cellStyle name="40% - Accent1 9 4" xfId="2438"/>
    <cellStyle name="40% - Accent1 9 4 2" xfId="7772"/>
    <cellStyle name="40% - Accent1 9 5" xfId="5485"/>
    <cellStyle name="40% - Accent1 90" xfId="1745"/>
    <cellStyle name="40% - Accent1 90 2" xfId="4944"/>
    <cellStyle name="40% - Accent1 90 2 2" xfId="10277"/>
    <cellStyle name="40% - Accent1 90 3" xfId="7081"/>
    <cellStyle name="40% - Accent1 91" xfId="1759"/>
    <cellStyle name="40% - Accent1 91 2" xfId="4945"/>
    <cellStyle name="40% - Accent1 91 2 2" xfId="10278"/>
    <cellStyle name="40% - Accent1 91 3" xfId="7095"/>
    <cellStyle name="40% - Accent1 92" xfId="1773"/>
    <cellStyle name="40% - Accent1 92 2" xfId="4946"/>
    <cellStyle name="40% - Accent1 92 2 2" xfId="10279"/>
    <cellStyle name="40% - Accent1 92 3" xfId="7109"/>
    <cellStyle name="40% - Accent1 93" xfId="1787"/>
    <cellStyle name="40% - Accent1 93 2" xfId="4947"/>
    <cellStyle name="40% - Accent1 93 2 2" xfId="10280"/>
    <cellStyle name="40% - Accent1 93 3" xfId="7123"/>
    <cellStyle name="40% - Accent1 94" xfId="1801"/>
    <cellStyle name="40% - Accent1 94 2" xfId="5001"/>
    <cellStyle name="40% - Accent1 94 2 2" xfId="10332"/>
    <cellStyle name="40% - Accent1 94 3" xfId="7137"/>
    <cellStyle name="40% - Accent1 95" xfId="1815"/>
    <cellStyle name="40% - Accent1 95 2" xfId="5002"/>
    <cellStyle name="40% - Accent1 95 2 2" xfId="10333"/>
    <cellStyle name="40% - Accent1 95 3" xfId="7151"/>
    <cellStyle name="40% - Accent1 96" xfId="1829"/>
    <cellStyle name="40% - Accent1 96 2" xfId="5042"/>
    <cellStyle name="40% - Accent1 96 2 2" xfId="10373"/>
    <cellStyle name="40% - Accent1 96 3" xfId="7165"/>
    <cellStyle name="40% - Accent1 97" xfId="1843"/>
    <cellStyle name="40% - Accent1 97 2" xfId="5043"/>
    <cellStyle name="40% - Accent1 97 2 2" xfId="10374"/>
    <cellStyle name="40% - Accent1 97 3" xfId="7179"/>
    <cellStyle name="40% - Accent1 98" xfId="1857"/>
    <cellStyle name="40% - Accent1 98 2" xfId="5044"/>
    <cellStyle name="40% - Accent1 98 2 2" xfId="10375"/>
    <cellStyle name="40% - Accent1 98 3" xfId="7193"/>
    <cellStyle name="40% - Accent1 99" xfId="1871"/>
    <cellStyle name="40% - Accent1 99 2" xfId="5045"/>
    <cellStyle name="40% - Accent1 99 2 2" xfId="10376"/>
    <cellStyle name="40% - Accent1 99 3" xfId="7207"/>
    <cellStyle name="40% - Accent2" xfId="8" builtinId="35" customBuiltin="1"/>
    <cellStyle name="40% - Accent2 10" xfId="163"/>
    <cellStyle name="40% - Accent2 10 2" xfId="640"/>
    <cellStyle name="40% - Accent2 10 2 2" xfId="4136"/>
    <cellStyle name="40% - Accent2 10 2 2 2" xfId="9469"/>
    <cellStyle name="40% - Accent2 10 2 3" xfId="2441"/>
    <cellStyle name="40% - Accent2 10 2 3 2" xfId="7775"/>
    <cellStyle name="40% - Accent2 10 2 4" xfId="5977"/>
    <cellStyle name="40% - Accent2 10 3" xfId="4137"/>
    <cellStyle name="40% - Accent2 10 3 2" xfId="9470"/>
    <cellStyle name="40% - Accent2 10 4" xfId="2440"/>
    <cellStyle name="40% - Accent2 10 4 2" xfId="7774"/>
    <cellStyle name="40% - Accent2 10 5" xfId="5501"/>
    <cellStyle name="40% - Accent2 100" xfId="1887"/>
    <cellStyle name="40% - Accent2 100 2" xfId="7223"/>
    <cellStyle name="40% - Accent2 101" xfId="1901"/>
    <cellStyle name="40% - Accent2 101 2" xfId="7237"/>
    <cellStyle name="40% - Accent2 102" xfId="1915"/>
    <cellStyle name="40% - Accent2 102 2" xfId="7251"/>
    <cellStyle name="40% - Accent2 103" xfId="5076"/>
    <cellStyle name="40% - Accent2 103 2" xfId="10407"/>
    <cellStyle name="40% - Accent2 104" xfId="5090"/>
    <cellStyle name="40% - Accent2 104 2" xfId="10421"/>
    <cellStyle name="40% - Accent2 105" xfId="5104"/>
    <cellStyle name="40% - Accent2 105 2" xfId="10435"/>
    <cellStyle name="40% - Accent2 106" xfId="5118"/>
    <cellStyle name="40% - Accent2 106 2" xfId="10449"/>
    <cellStyle name="40% - Accent2 107" xfId="5132"/>
    <cellStyle name="40% - Accent2 107 2" xfId="10463"/>
    <cellStyle name="40% - Accent2 108" xfId="5146"/>
    <cellStyle name="40% - Accent2 108 2" xfId="10477"/>
    <cellStyle name="40% - Accent2 109" xfId="5160"/>
    <cellStyle name="40% - Accent2 109 2" xfId="10491"/>
    <cellStyle name="40% - Accent2 11" xfId="177"/>
    <cellStyle name="40% - Accent2 11 2" xfId="654"/>
    <cellStyle name="40% - Accent2 11 2 2" xfId="4138"/>
    <cellStyle name="40% - Accent2 11 2 2 2" xfId="9471"/>
    <cellStyle name="40% - Accent2 11 2 3" xfId="2443"/>
    <cellStyle name="40% - Accent2 11 2 3 2" xfId="7777"/>
    <cellStyle name="40% - Accent2 11 2 4" xfId="5991"/>
    <cellStyle name="40% - Accent2 11 3" xfId="4139"/>
    <cellStyle name="40% - Accent2 11 3 2" xfId="9472"/>
    <cellStyle name="40% - Accent2 11 4" xfId="2442"/>
    <cellStyle name="40% - Accent2 11 4 2" xfId="7776"/>
    <cellStyle name="40% - Accent2 11 5" xfId="5515"/>
    <cellStyle name="40% - Accent2 110" xfId="5174"/>
    <cellStyle name="40% - Accent2 110 2" xfId="10505"/>
    <cellStyle name="40% - Accent2 111" xfId="5188"/>
    <cellStyle name="40% - Accent2 111 2" xfId="10519"/>
    <cellStyle name="40% - Accent2 112" xfId="5202"/>
    <cellStyle name="40% - Accent2 112 2" xfId="10533"/>
    <cellStyle name="40% - Accent2 113" xfId="5216"/>
    <cellStyle name="40% - Accent2 113 2" xfId="10547"/>
    <cellStyle name="40% - Accent2 114" xfId="5230"/>
    <cellStyle name="40% - Accent2 114 2" xfId="10561"/>
    <cellStyle name="40% - Accent2 115" xfId="5244"/>
    <cellStyle name="40% - Accent2 115 2" xfId="10575"/>
    <cellStyle name="40% - Accent2 116" xfId="5258"/>
    <cellStyle name="40% - Accent2 116 2" xfId="10589"/>
    <cellStyle name="40% - Accent2 117" xfId="5272"/>
    <cellStyle name="40% - Accent2 117 2" xfId="10603"/>
    <cellStyle name="40% - Accent2 118" xfId="5286"/>
    <cellStyle name="40% - Accent2 118 2" xfId="10617"/>
    <cellStyle name="40% - Accent2 119" xfId="5300"/>
    <cellStyle name="40% - Accent2 119 2" xfId="10631"/>
    <cellStyle name="40% - Accent2 12" xfId="191"/>
    <cellStyle name="40% - Accent2 12 2" xfId="668"/>
    <cellStyle name="40% - Accent2 12 2 2" xfId="4140"/>
    <cellStyle name="40% - Accent2 12 2 2 2" xfId="9473"/>
    <cellStyle name="40% - Accent2 12 2 3" xfId="2445"/>
    <cellStyle name="40% - Accent2 12 2 3 2" xfId="7779"/>
    <cellStyle name="40% - Accent2 12 2 4" xfId="6005"/>
    <cellStyle name="40% - Accent2 12 3" xfId="4141"/>
    <cellStyle name="40% - Accent2 12 3 2" xfId="9474"/>
    <cellStyle name="40% - Accent2 12 4" xfId="2444"/>
    <cellStyle name="40% - Accent2 12 4 2" xfId="7778"/>
    <cellStyle name="40% - Accent2 12 5" xfId="5529"/>
    <cellStyle name="40% - Accent2 120" xfId="5314"/>
    <cellStyle name="40% - Accent2 120 2" xfId="10645"/>
    <cellStyle name="40% - Accent2 121" xfId="5328"/>
    <cellStyle name="40% - Accent2 121 2" xfId="10659"/>
    <cellStyle name="40% - Accent2 122" xfId="5342"/>
    <cellStyle name="40% - Accent2 122 2" xfId="10673"/>
    <cellStyle name="40% - Accent2 123" xfId="5361"/>
    <cellStyle name="40% - Accent2 123 2" xfId="10690"/>
    <cellStyle name="40% - Accent2 124" xfId="10704"/>
    <cellStyle name="40% - Accent2 125" xfId="5377"/>
    <cellStyle name="40% - Accent2 126" xfId="10718"/>
    <cellStyle name="40% - Accent2 127" xfId="10732"/>
    <cellStyle name="40% - Accent2 128" xfId="10746"/>
    <cellStyle name="40% - Accent2 129" xfId="10760"/>
    <cellStyle name="40% - Accent2 13" xfId="205"/>
    <cellStyle name="40% - Accent2 13 2" xfId="682"/>
    <cellStyle name="40% - Accent2 13 2 2" xfId="4142"/>
    <cellStyle name="40% - Accent2 13 2 2 2" xfId="9475"/>
    <cellStyle name="40% - Accent2 13 2 3" xfId="2447"/>
    <cellStyle name="40% - Accent2 13 2 3 2" xfId="7781"/>
    <cellStyle name="40% - Accent2 13 2 4" xfId="6019"/>
    <cellStyle name="40% - Accent2 13 3" xfId="4143"/>
    <cellStyle name="40% - Accent2 13 3 2" xfId="9476"/>
    <cellStyle name="40% - Accent2 13 4" xfId="2446"/>
    <cellStyle name="40% - Accent2 13 4 2" xfId="7780"/>
    <cellStyle name="40% - Accent2 13 5" xfId="5543"/>
    <cellStyle name="40% - Accent2 130" xfId="10774"/>
    <cellStyle name="40% - Accent2 131" xfId="10789"/>
    <cellStyle name="40% - Accent2 132" xfId="10803"/>
    <cellStyle name="40% - Accent2 133" xfId="10817"/>
    <cellStyle name="40% - Accent2 134" xfId="10831"/>
    <cellStyle name="40% - Accent2 135" xfId="10845"/>
    <cellStyle name="40% - Accent2 136" xfId="10859"/>
    <cellStyle name="40% - Accent2 137" xfId="10873"/>
    <cellStyle name="40% - Accent2 138" xfId="10887"/>
    <cellStyle name="40% - Accent2 139" xfId="10901"/>
    <cellStyle name="40% - Accent2 14" xfId="219"/>
    <cellStyle name="40% - Accent2 14 2" xfId="696"/>
    <cellStyle name="40% - Accent2 14 2 2" xfId="4144"/>
    <cellStyle name="40% - Accent2 14 2 2 2" xfId="9477"/>
    <cellStyle name="40% - Accent2 14 2 3" xfId="2449"/>
    <cellStyle name="40% - Accent2 14 2 3 2" xfId="7783"/>
    <cellStyle name="40% - Accent2 14 2 4" xfId="6033"/>
    <cellStyle name="40% - Accent2 14 3" xfId="4145"/>
    <cellStyle name="40% - Accent2 14 3 2" xfId="9478"/>
    <cellStyle name="40% - Accent2 14 4" xfId="2448"/>
    <cellStyle name="40% - Accent2 14 4 2" xfId="7782"/>
    <cellStyle name="40% - Accent2 14 5" xfId="5557"/>
    <cellStyle name="40% - Accent2 140" xfId="10915"/>
    <cellStyle name="40% - Accent2 141" xfId="10929"/>
    <cellStyle name="40% - Accent2 142" xfId="10943"/>
    <cellStyle name="40% - Accent2 143" xfId="10957"/>
    <cellStyle name="40% - Accent2 144" xfId="10971"/>
    <cellStyle name="40% - Accent2 145" xfId="10985"/>
    <cellStyle name="40% - Accent2 146" xfId="10999"/>
    <cellStyle name="40% - Accent2 147" xfId="11013"/>
    <cellStyle name="40% - Accent2 148" xfId="11027"/>
    <cellStyle name="40% - Accent2 149" xfId="11041"/>
    <cellStyle name="40% - Accent2 15" xfId="233"/>
    <cellStyle name="40% - Accent2 15 2" xfId="710"/>
    <cellStyle name="40% - Accent2 15 2 2" xfId="4146"/>
    <cellStyle name="40% - Accent2 15 2 2 2" xfId="9479"/>
    <cellStyle name="40% - Accent2 15 2 3" xfId="2451"/>
    <cellStyle name="40% - Accent2 15 2 3 2" xfId="7785"/>
    <cellStyle name="40% - Accent2 15 2 4" xfId="6047"/>
    <cellStyle name="40% - Accent2 15 3" xfId="4147"/>
    <cellStyle name="40% - Accent2 15 3 2" xfId="9480"/>
    <cellStyle name="40% - Accent2 15 4" xfId="2450"/>
    <cellStyle name="40% - Accent2 15 4 2" xfId="7784"/>
    <cellStyle name="40% - Accent2 15 5" xfId="5571"/>
    <cellStyle name="40% - Accent2 150" xfId="11055"/>
    <cellStyle name="40% - Accent2 16" xfId="247"/>
    <cellStyle name="40% - Accent2 16 2" xfId="724"/>
    <cellStyle name="40% - Accent2 16 2 2" xfId="4148"/>
    <cellStyle name="40% - Accent2 16 2 2 2" xfId="9481"/>
    <cellStyle name="40% - Accent2 16 2 3" xfId="2453"/>
    <cellStyle name="40% - Accent2 16 2 3 2" xfId="7787"/>
    <cellStyle name="40% - Accent2 16 2 4" xfId="6061"/>
    <cellStyle name="40% - Accent2 16 3" xfId="4149"/>
    <cellStyle name="40% - Accent2 16 3 2" xfId="9482"/>
    <cellStyle name="40% - Accent2 16 4" xfId="2452"/>
    <cellStyle name="40% - Accent2 16 4 2" xfId="7786"/>
    <cellStyle name="40% - Accent2 16 5" xfId="5585"/>
    <cellStyle name="40% - Accent2 17" xfId="261"/>
    <cellStyle name="40% - Accent2 17 2" xfId="738"/>
    <cellStyle name="40% - Accent2 17 2 2" xfId="4150"/>
    <cellStyle name="40% - Accent2 17 2 2 2" xfId="9483"/>
    <cellStyle name="40% - Accent2 17 2 3" xfId="2455"/>
    <cellStyle name="40% - Accent2 17 2 3 2" xfId="7789"/>
    <cellStyle name="40% - Accent2 17 2 4" xfId="6075"/>
    <cellStyle name="40% - Accent2 17 3" xfId="4151"/>
    <cellStyle name="40% - Accent2 17 3 2" xfId="9484"/>
    <cellStyle name="40% - Accent2 17 4" xfId="2454"/>
    <cellStyle name="40% - Accent2 17 4 2" xfId="7788"/>
    <cellStyle name="40% - Accent2 17 5" xfId="5599"/>
    <cellStyle name="40% - Accent2 18" xfId="275"/>
    <cellStyle name="40% - Accent2 18 2" xfId="752"/>
    <cellStyle name="40% - Accent2 18 2 2" xfId="4152"/>
    <cellStyle name="40% - Accent2 18 2 2 2" xfId="9485"/>
    <cellStyle name="40% - Accent2 18 2 3" xfId="2457"/>
    <cellStyle name="40% - Accent2 18 2 3 2" xfId="7791"/>
    <cellStyle name="40% - Accent2 18 2 4" xfId="6089"/>
    <cellStyle name="40% - Accent2 18 3" xfId="4153"/>
    <cellStyle name="40% - Accent2 18 3 2" xfId="9486"/>
    <cellStyle name="40% - Accent2 18 4" xfId="2456"/>
    <cellStyle name="40% - Accent2 18 4 2" xfId="7790"/>
    <cellStyle name="40% - Accent2 18 5" xfId="5613"/>
    <cellStyle name="40% - Accent2 19" xfId="289"/>
    <cellStyle name="40% - Accent2 19 2" xfId="766"/>
    <cellStyle name="40% - Accent2 19 2 2" xfId="4154"/>
    <cellStyle name="40% - Accent2 19 2 2 2" xfId="9487"/>
    <cellStyle name="40% - Accent2 19 2 3" xfId="2459"/>
    <cellStyle name="40% - Accent2 19 2 3 2" xfId="7793"/>
    <cellStyle name="40% - Accent2 19 2 4" xfId="6103"/>
    <cellStyle name="40% - Accent2 19 3" xfId="4155"/>
    <cellStyle name="40% - Accent2 19 3 2" xfId="9488"/>
    <cellStyle name="40% - Accent2 19 4" xfId="2458"/>
    <cellStyle name="40% - Accent2 19 4 2" xfId="7792"/>
    <cellStyle name="40% - Accent2 19 5" xfId="5627"/>
    <cellStyle name="40% - Accent2 2" xfId="51"/>
    <cellStyle name="40% - Accent2 2 2" xfId="528"/>
    <cellStyle name="40% - Accent2 2 2 2" xfId="4156"/>
    <cellStyle name="40% - Accent2 2 2 2 2" xfId="9489"/>
    <cellStyle name="40% - Accent2 2 2 3" xfId="2461"/>
    <cellStyle name="40% - Accent2 2 2 3 2" xfId="7795"/>
    <cellStyle name="40% - Accent2 2 2 4" xfId="5865"/>
    <cellStyle name="40% - Accent2 2 3" xfId="4157"/>
    <cellStyle name="40% - Accent2 2 3 2" xfId="9490"/>
    <cellStyle name="40% - Accent2 2 4" xfId="2460"/>
    <cellStyle name="40% - Accent2 2 4 2" xfId="7794"/>
    <cellStyle name="40% - Accent2 2 5" xfId="5389"/>
    <cellStyle name="40% - Accent2 20" xfId="303"/>
    <cellStyle name="40% - Accent2 20 2" xfId="780"/>
    <cellStyle name="40% - Accent2 20 2 2" xfId="4158"/>
    <cellStyle name="40% - Accent2 20 2 2 2" xfId="9491"/>
    <cellStyle name="40% - Accent2 20 2 3" xfId="2463"/>
    <cellStyle name="40% - Accent2 20 2 3 2" xfId="7797"/>
    <cellStyle name="40% - Accent2 20 2 4" xfId="6117"/>
    <cellStyle name="40% - Accent2 20 3" xfId="4159"/>
    <cellStyle name="40% - Accent2 20 3 2" xfId="9492"/>
    <cellStyle name="40% - Accent2 20 4" xfId="2462"/>
    <cellStyle name="40% - Accent2 20 4 2" xfId="7796"/>
    <cellStyle name="40% - Accent2 20 5" xfId="5641"/>
    <cellStyle name="40% - Accent2 21" xfId="318"/>
    <cellStyle name="40% - Accent2 21 2" xfId="795"/>
    <cellStyle name="40% - Accent2 21 2 2" xfId="4160"/>
    <cellStyle name="40% - Accent2 21 2 2 2" xfId="9493"/>
    <cellStyle name="40% - Accent2 21 2 3" xfId="2465"/>
    <cellStyle name="40% - Accent2 21 2 3 2" xfId="7799"/>
    <cellStyle name="40% - Accent2 21 2 4" xfId="6131"/>
    <cellStyle name="40% - Accent2 21 3" xfId="4161"/>
    <cellStyle name="40% - Accent2 21 3 2" xfId="9494"/>
    <cellStyle name="40% - Accent2 21 4" xfId="2464"/>
    <cellStyle name="40% - Accent2 21 4 2" xfId="7798"/>
    <cellStyle name="40% - Accent2 21 5" xfId="5655"/>
    <cellStyle name="40% - Accent2 22" xfId="332"/>
    <cellStyle name="40% - Accent2 22 2" xfId="809"/>
    <cellStyle name="40% - Accent2 22 2 2" xfId="4162"/>
    <cellStyle name="40% - Accent2 22 2 2 2" xfId="9495"/>
    <cellStyle name="40% - Accent2 22 2 3" xfId="2467"/>
    <cellStyle name="40% - Accent2 22 2 3 2" xfId="7801"/>
    <cellStyle name="40% - Accent2 22 2 4" xfId="6145"/>
    <cellStyle name="40% - Accent2 22 3" xfId="4163"/>
    <cellStyle name="40% - Accent2 22 3 2" xfId="9496"/>
    <cellStyle name="40% - Accent2 22 4" xfId="2466"/>
    <cellStyle name="40% - Accent2 22 4 2" xfId="7800"/>
    <cellStyle name="40% - Accent2 22 5" xfId="5669"/>
    <cellStyle name="40% - Accent2 23" xfId="346"/>
    <cellStyle name="40% - Accent2 23 2" xfId="823"/>
    <cellStyle name="40% - Accent2 23 2 2" xfId="4164"/>
    <cellStyle name="40% - Accent2 23 2 2 2" xfId="9497"/>
    <cellStyle name="40% - Accent2 23 2 3" xfId="2469"/>
    <cellStyle name="40% - Accent2 23 2 3 2" xfId="7803"/>
    <cellStyle name="40% - Accent2 23 2 4" xfId="6159"/>
    <cellStyle name="40% - Accent2 23 3" xfId="4165"/>
    <cellStyle name="40% - Accent2 23 3 2" xfId="9498"/>
    <cellStyle name="40% - Accent2 23 4" xfId="2468"/>
    <cellStyle name="40% - Accent2 23 4 2" xfId="7802"/>
    <cellStyle name="40% - Accent2 23 5" xfId="5683"/>
    <cellStyle name="40% - Accent2 24" xfId="360"/>
    <cellStyle name="40% - Accent2 24 2" xfId="837"/>
    <cellStyle name="40% - Accent2 24 2 2" xfId="4166"/>
    <cellStyle name="40% - Accent2 24 2 2 2" xfId="9499"/>
    <cellStyle name="40% - Accent2 24 2 3" xfId="2471"/>
    <cellStyle name="40% - Accent2 24 2 3 2" xfId="7805"/>
    <cellStyle name="40% - Accent2 24 2 4" xfId="6173"/>
    <cellStyle name="40% - Accent2 24 3" xfId="4167"/>
    <cellStyle name="40% - Accent2 24 3 2" xfId="9500"/>
    <cellStyle name="40% - Accent2 24 4" xfId="2470"/>
    <cellStyle name="40% - Accent2 24 4 2" xfId="7804"/>
    <cellStyle name="40% - Accent2 24 5" xfId="5697"/>
    <cellStyle name="40% - Accent2 25" xfId="374"/>
    <cellStyle name="40% - Accent2 25 2" xfId="851"/>
    <cellStyle name="40% - Accent2 25 2 2" xfId="4168"/>
    <cellStyle name="40% - Accent2 25 2 2 2" xfId="9501"/>
    <cellStyle name="40% - Accent2 25 2 3" xfId="2473"/>
    <cellStyle name="40% - Accent2 25 2 3 2" xfId="7807"/>
    <cellStyle name="40% - Accent2 25 2 4" xfId="6187"/>
    <cellStyle name="40% - Accent2 25 3" xfId="4169"/>
    <cellStyle name="40% - Accent2 25 3 2" xfId="9502"/>
    <cellStyle name="40% - Accent2 25 4" xfId="2472"/>
    <cellStyle name="40% - Accent2 25 4 2" xfId="7806"/>
    <cellStyle name="40% - Accent2 25 5" xfId="5711"/>
    <cellStyle name="40% - Accent2 26" xfId="388"/>
    <cellStyle name="40% - Accent2 26 2" xfId="865"/>
    <cellStyle name="40% - Accent2 26 2 2" xfId="4170"/>
    <cellStyle name="40% - Accent2 26 2 2 2" xfId="9503"/>
    <cellStyle name="40% - Accent2 26 2 3" xfId="2475"/>
    <cellStyle name="40% - Accent2 26 2 3 2" xfId="7809"/>
    <cellStyle name="40% - Accent2 26 2 4" xfId="6201"/>
    <cellStyle name="40% - Accent2 26 3" xfId="4171"/>
    <cellStyle name="40% - Accent2 26 3 2" xfId="9504"/>
    <cellStyle name="40% - Accent2 26 4" xfId="2474"/>
    <cellStyle name="40% - Accent2 26 4 2" xfId="7808"/>
    <cellStyle name="40% - Accent2 26 5" xfId="5725"/>
    <cellStyle name="40% - Accent2 27" xfId="402"/>
    <cellStyle name="40% - Accent2 27 2" xfId="879"/>
    <cellStyle name="40% - Accent2 27 2 2" xfId="4172"/>
    <cellStyle name="40% - Accent2 27 2 2 2" xfId="9505"/>
    <cellStyle name="40% - Accent2 27 2 3" xfId="2477"/>
    <cellStyle name="40% - Accent2 27 2 3 2" xfId="7811"/>
    <cellStyle name="40% - Accent2 27 2 4" xfId="6215"/>
    <cellStyle name="40% - Accent2 27 3" xfId="4173"/>
    <cellStyle name="40% - Accent2 27 3 2" xfId="9506"/>
    <cellStyle name="40% - Accent2 27 4" xfId="2476"/>
    <cellStyle name="40% - Accent2 27 4 2" xfId="7810"/>
    <cellStyle name="40% - Accent2 27 5" xfId="5739"/>
    <cellStyle name="40% - Accent2 28" xfId="416"/>
    <cellStyle name="40% - Accent2 28 2" xfId="893"/>
    <cellStyle name="40% - Accent2 28 2 2" xfId="4174"/>
    <cellStyle name="40% - Accent2 28 2 2 2" xfId="9507"/>
    <cellStyle name="40% - Accent2 28 2 3" xfId="2479"/>
    <cellStyle name="40% - Accent2 28 2 3 2" xfId="7813"/>
    <cellStyle name="40% - Accent2 28 2 4" xfId="6229"/>
    <cellStyle name="40% - Accent2 28 3" xfId="4175"/>
    <cellStyle name="40% - Accent2 28 3 2" xfId="9508"/>
    <cellStyle name="40% - Accent2 28 4" xfId="2478"/>
    <cellStyle name="40% - Accent2 28 4 2" xfId="7812"/>
    <cellStyle name="40% - Accent2 28 5" xfId="5753"/>
    <cellStyle name="40% - Accent2 29" xfId="430"/>
    <cellStyle name="40% - Accent2 29 2" xfId="907"/>
    <cellStyle name="40% - Accent2 29 2 2" xfId="4176"/>
    <cellStyle name="40% - Accent2 29 2 2 2" xfId="9509"/>
    <cellStyle name="40% - Accent2 29 2 3" xfId="2481"/>
    <cellStyle name="40% - Accent2 29 2 3 2" xfId="7815"/>
    <cellStyle name="40% - Accent2 29 2 4" xfId="6243"/>
    <cellStyle name="40% - Accent2 29 3" xfId="4177"/>
    <cellStyle name="40% - Accent2 29 3 2" xfId="9510"/>
    <cellStyle name="40% - Accent2 29 4" xfId="2480"/>
    <cellStyle name="40% - Accent2 29 4 2" xfId="7814"/>
    <cellStyle name="40% - Accent2 29 5" xfId="5767"/>
    <cellStyle name="40% - Accent2 3" xfId="65"/>
    <cellStyle name="40% - Accent2 3 2" xfId="542"/>
    <cellStyle name="40% - Accent2 3 2 2" xfId="4178"/>
    <cellStyle name="40% - Accent2 3 2 2 2" xfId="9511"/>
    <cellStyle name="40% - Accent2 3 2 3" xfId="2483"/>
    <cellStyle name="40% - Accent2 3 2 3 2" xfId="7817"/>
    <cellStyle name="40% - Accent2 3 2 4" xfId="5879"/>
    <cellStyle name="40% - Accent2 3 3" xfId="4179"/>
    <cellStyle name="40% - Accent2 3 3 2" xfId="9512"/>
    <cellStyle name="40% - Accent2 3 4" xfId="2482"/>
    <cellStyle name="40% - Accent2 3 4 2" xfId="7816"/>
    <cellStyle name="40% - Accent2 3 5" xfId="5403"/>
    <cellStyle name="40% - Accent2 30" xfId="444"/>
    <cellStyle name="40% - Accent2 30 2" xfId="921"/>
    <cellStyle name="40% - Accent2 30 2 2" xfId="4180"/>
    <cellStyle name="40% - Accent2 30 2 2 2" xfId="9513"/>
    <cellStyle name="40% - Accent2 30 2 3" xfId="2485"/>
    <cellStyle name="40% - Accent2 30 2 3 2" xfId="7819"/>
    <cellStyle name="40% - Accent2 30 2 4" xfId="6257"/>
    <cellStyle name="40% - Accent2 30 3" xfId="4181"/>
    <cellStyle name="40% - Accent2 30 3 2" xfId="9514"/>
    <cellStyle name="40% - Accent2 30 4" xfId="2484"/>
    <cellStyle name="40% - Accent2 30 4 2" xfId="7818"/>
    <cellStyle name="40% - Accent2 30 5" xfId="5781"/>
    <cellStyle name="40% - Accent2 31" xfId="458"/>
    <cellStyle name="40% - Accent2 31 2" xfId="935"/>
    <cellStyle name="40% - Accent2 31 2 2" xfId="4182"/>
    <cellStyle name="40% - Accent2 31 2 2 2" xfId="9515"/>
    <cellStyle name="40% - Accent2 31 2 3" xfId="2487"/>
    <cellStyle name="40% - Accent2 31 2 3 2" xfId="7821"/>
    <cellStyle name="40% - Accent2 31 2 4" xfId="6271"/>
    <cellStyle name="40% - Accent2 31 3" xfId="4183"/>
    <cellStyle name="40% - Accent2 31 3 2" xfId="9516"/>
    <cellStyle name="40% - Accent2 31 4" xfId="2486"/>
    <cellStyle name="40% - Accent2 31 4 2" xfId="7820"/>
    <cellStyle name="40% - Accent2 31 5" xfId="5795"/>
    <cellStyle name="40% - Accent2 32" xfId="472"/>
    <cellStyle name="40% - Accent2 32 2" xfId="949"/>
    <cellStyle name="40% - Accent2 32 2 2" xfId="4184"/>
    <cellStyle name="40% - Accent2 32 2 2 2" xfId="9517"/>
    <cellStyle name="40% - Accent2 32 2 3" xfId="2489"/>
    <cellStyle name="40% - Accent2 32 2 3 2" xfId="7823"/>
    <cellStyle name="40% - Accent2 32 2 4" xfId="6285"/>
    <cellStyle name="40% - Accent2 32 3" xfId="4185"/>
    <cellStyle name="40% - Accent2 32 3 2" xfId="9518"/>
    <cellStyle name="40% - Accent2 32 4" xfId="2488"/>
    <cellStyle name="40% - Accent2 32 4 2" xfId="7822"/>
    <cellStyle name="40% - Accent2 32 5" xfId="5809"/>
    <cellStyle name="40% - Accent2 33" xfId="486"/>
    <cellStyle name="40% - Accent2 33 2" xfId="963"/>
    <cellStyle name="40% - Accent2 33 2 2" xfId="4186"/>
    <cellStyle name="40% - Accent2 33 2 2 2" xfId="9519"/>
    <cellStyle name="40% - Accent2 33 2 3" xfId="2491"/>
    <cellStyle name="40% - Accent2 33 2 3 2" xfId="7825"/>
    <cellStyle name="40% - Accent2 33 2 4" xfId="6299"/>
    <cellStyle name="40% - Accent2 33 3" xfId="4187"/>
    <cellStyle name="40% - Accent2 33 3 2" xfId="9520"/>
    <cellStyle name="40% - Accent2 33 4" xfId="2490"/>
    <cellStyle name="40% - Accent2 33 4 2" xfId="7824"/>
    <cellStyle name="40% - Accent2 33 5" xfId="5823"/>
    <cellStyle name="40% - Accent2 34" xfId="500"/>
    <cellStyle name="40% - Accent2 34 2" xfId="977"/>
    <cellStyle name="40% - Accent2 34 2 2" xfId="4188"/>
    <cellStyle name="40% - Accent2 34 2 2 2" xfId="9521"/>
    <cellStyle name="40% - Accent2 34 2 3" xfId="2493"/>
    <cellStyle name="40% - Accent2 34 2 3 2" xfId="7827"/>
    <cellStyle name="40% - Accent2 34 2 4" xfId="6313"/>
    <cellStyle name="40% - Accent2 34 3" xfId="4189"/>
    <cellStyle name="40% - Accent2 34 3 2" xfId="9522"/>
    <cellStyle name="40% - Accent2 34 4" xfId="2492"/>
    <cellStyle name="40% - Accent2 34 4 2" xfId="7826"/>
    <cellStyle name="40% - Accent2 34 5" xfId="5837"/>
    <cellStyle name="40% - Accent2 35" xfId="991"/>
    <cellStyle name="40% - Accent2 35 2" xfId="4190"/>
    <cellStyle name="40% - Accent2 35 2 2" xfId="9523"/>
    <cellStyle name="40% - Accent2 35 3" xfId="2494"/>
    <cellStyle name="40% - Accent2 35 3 2" xfId="7828"/>
    <cellStyle name="40% - Accent2 35 4" xfId="6327"/>
    <cellStyle name="40% - Accent2 36" xfId="1005"/>
    <cellStyle name="40% - Accent2 36 2" xfId="4191"/>
    <cellStyle name="40% - Accent2 36 2 2" xfId="9524"/>
    <cellStyle name="40% - Accent2 36 3" xfId="2495"/>
    <cellStyle name="40% - Accent2 36 3 2" xfId="7829"/>
    <cellStyle name="40% - Accent2 36 4" xfId="6341"/>
    <cellStyle name="40% - Accent2 37" xfId="1019"/>
    <cellStyle name="40% - Accent2 37 2" xfId="4192"/>
    <cellStyle name="40% - Accent2 37 2 2" xfId="9525"/>
    <cellStyle name="40% - Accent2 37 3" xfId="2496"/>
    <cellStyle name="40% - Accent2 37 3 2" xfId="7830"/>
    <cellStyle name="40% - Accent2 37 4" xfId="6355"/>
    <cellStyle name="40% - Accent2 38" xfId="516"/>
    <cellStyle name="40% - Accent2 38 2" xfId="4193"/>
    <cellStyle name="40% - Accent2 38 2 2" xfId="9526"/>
    <cellStyle name="40% - Accent2 38 3" xfId="2497"/>
    <cellStyle name="40% - Accent2 38 3 2" xfId="7831"/>
    <cellStyle name="40% - Accent2 38 4" xfId="5853"/>
    <cellStyle name="40% - Accent2 39" xfId="1033"/>
    <cellStyle name="40% - Accent2 39 2" xfId="4194"/>
    <cellStyle name="40% - Accent2 39 2 2" xfId="9527"/>
    <cellStyle name="40% - Accent2 39 3" xfId="3185"/>
    <cellStyle name="40% - Accent2 39 3 2" xfId="8519"/>
    <cellStyle name="40% - Accent2 39 4" xfId="6369"/>
    <cellStyle name="40% - Accent2 4" xfId="79"/>
    <cellStyle name="40% - Accent2 4 2" xfId="556"/>
    <cellStyle name="40% - Accent2 4 2 2" xfId="4195"/>
    <cellStyle name="40% - Accent2 4 2 2 2" xfId="9528"/>
    <cellStyle name="40% - Accent2 4 2 3" xfId="2499"/>
    <cellStyle name="40% - Accent2 4 2 3 2" xfId="7833"/>
    <cellStyle name="40% - Accent2 4 2 4" xfId="5893"/>
    <cellStyle name="40% - Accent2 4 3" xfId="4196"/>
    <cellStyle name="40% - Accent2 4 3 2" xfId="9529"/>
    <cellStyle name="40% - Accent2 4 4" xfId="2498"/>
    <cellStyle name="40% - Accent2 4 4 2" xfId="7832"/>
    <cellStyle name="40% - Accent2 4 5" xfId="5417"/>
    <cellStyle name="40% - Accent2 40" xfId="1047"/>
    <cellStyle name="40% - Accent2 40 2" xfId="4197"/>
    <cellStyle name="40% - Accent2 40 2 2" xfId="9530"/>
    <cellStyle name="40% - Accent2 40 3" xfId="3186"/>
    <cellStyle name="40% - Accent2 40 3 2" xfId="8520"/>
    <cellStyle name="40% - Accent2 40 4" xfId="6383"/>
    <cellStyle name="40% - Accent2 41" xfId="1061"/>
    <cellStyle name="40% - Accent2 41 2" xfId="4198"/>
    <cellStyle name="40% - Accent2 41 2 2" xfId="9531"/>
    <cellStyle name="40% - Accent2 41 3" xfId="3187"/>
    <cellStyle name="40% - Accent2 41 3 2" xfId="8521"/>
    <cellStyle name="40% - Accent2 41 4" xfId="6397"/>
    <cellStyle name="40% - Accent2 42" xfId="1075"/>
    <cellStyle name="40% - Accent2 42 2" xfId="4199"/>
    <cellStyle name="40% - Accent2 42 2 2" xfId="9532"/>
    <cellStyle name="40% - Accent2 42 3" xfId="3188"/>
    <cellStyle name="40% - Accent2 42 3 2" xfId="8522"/>
    <cellStyle name="40% - Accent2 42 4" xfId="6411"/>
    <cellStyle name="40% - Accent2 43" xfId="1089"/>
    <cellStyle name="40% - Accent2 43 2" xfId="4200"/>
    <cellStyle name="40% - Accent2 43 2 2" xfId="9533"/>
    <cellStyle name="40% - Accent2 43 3" xfId="3189"/>
    <cellStyle name="40% - Accent2 43 3 2" xfId="8523"/>
    <cellStyle name="40% - Accent2 43 4" xfId="6425"/>
    <cellStyle name="40% - Accent2 44" xfId="1103"/>
    <cellStyle name="40% - Accent2 44 2" xfId="4201"/>
    <cellStyle name="40% - Accent2 44 2 2" xfId="9534"/>
    <cellStyle name="40% - Accent2 44 3" xfId="3190"/>
    <cellStyle name="40% - Accent2 44 3 2" xfId="8524"/>
    <cellStyle name="40% - Accent2 44 4" xfId="6439"/>
    <cellStyle name="40% - Accent2 45" xfId="1117"/>
    <cellStyle name="40% - Accent2 45 2" xfId="4202"/>
    <cellStyle name="40% - Accent2 45 2 2" xfId="9535"/>
    <cellStyle name="40% - Accent2 45 3" xfId="3191"/>
    <cellStyle name="40% - Accent2 45 3 2" xfId="8525"/>
    <cellStyle name="40% - Accent2 45 4" xfId="6453"/>
    <cellStyle name="40% - Accent2 46" xfId="1131"/>
    <cellStyle name="40% - Accent2 46 2" xfId="4203"/>
    <cellStyle name="40% - Accent2 46 2 2" xfId="9536"/>
    <cellStyle name="40% - Accent2 46 3" xfId="3192"/>
    <cellStyle name="40% - Accent2 46 3 2" xfId="8526"/>
    <cellStyle name="40% - Accent2 46 4" xfId="6467"/>
    <cellStyle name="40% - Accent2 47" xfId="1145"/>
    <cellStyle name="40% - Accent2 47 2" xfId="4204"/>
    <cellStyle name="40% - Accent2 47 2 2" xfId="9537"/>
    <cellStyle name="40% - Accent2 47 3" xfId="3193"/>
    <cellStyle name="40% - Accent2 47 3 2" xfId="8527"/>
    <cellStyle name="40% - Accent2 47 4" xfId="6481"/>
    <cellStyle name="40% - Accent2 48" xfId="1159"/>
    <cellStyle name="40% - Accent2 48 2" xfId="4205"/>
    <cellStyle name="40% - Accent2 48 2 2" xfId="9538"/>
    <cellStyle name="40% - Accent2 48 3" xfId="3194"/>
    <cellStyle name="40% - Accent2 48 3 2" xfId="8528"/>
    <cellStyle name="40% - Accent2 48 4" xfId="6495"/>
    <cellStyle name="40% - Accent2 49" xfId="1173"/>
    <cellStyle name="40% - Accent2 49 2" xfId="4206"/>
    <cellStyle name="40% - Accent2 49 2 2" xfId="9539"/>
    <cellStyle name="40% - Accent2 49 3" xfId="3195"/>
    <cellStyle name="40% - Accent2 49 3 2" xfId="8529"/>
    <cellStyle name="40% - Accent2 49 4" xfId="6509"/>
    <cellStyle name="40% - Accent2 5" xfId="93"/>
    <cellStyle name="40% - Accent2 5 2" xfId="570"/>
    <cellStyle name="40% - Accent2 5 2 2" xfId="4207"/>
    <cellStyle name="40% - Accent2 5 2 2 2" xfId="9540"/>
    <cellStyle name="40% - Accent2 5 2 3" xfId="2501"/>
    <cellStyle name="40% - Accent2 5 2 3 2" xfId="7835"/>
    <cellStyle name="40% - Accent2 5 2 4" xfId="5907"/>
    <cellStyle name="40% - Accent2 5 3" xfId="4208"/>
    <cellStyle name="40% - Accent2 5 3 2" xfId="9541"/>
    <cellStyle name="40% - Accent2 5 4" xfId="2500"/>
    <cellStyle name="40% - Accent2 5 4 2" xfId="7834"/>
    <cellStyle name="40% - Accent2 5 5" xfId="5431"/>
    <cellStyle name="40% - Accent2 50" xfId="1187"/>
    <cellStyle name="40% - Accent2 50 2" xfId="4209"/>
    <cellStyle name="40% - Accent2 50 2 2" xfId="9542"/>
    <cellStyle name="40% - Accent2 50 3" xfId="3196"/>
    <cellStyle name="40% - Accent2 50 3 2" xfId="8530"/>
    <cellStyle name="40% - Accent2 50 4" xfId="6523"/>
    <cellStyle name="40% - Accent2 51" xfId="1201"/>
    <cellStyle name="40% - Accent2 51 2" xfId="4210"/>
    <cellStyle name="40% - Accent2 51 2 2" xfId="9543"/>
    <cellStyle name="40% - Accent2 51 3" xfId="3197"/>
    <cellStyle name="40% - Accent2 51 3 2" xfId="8531"/>
    <cellStyle name="40% - Accent2 51 4" xfId="6537"/>
    <cellStyle name="40% - Accent2 52" xfId="1215"/>
    <cellStyle name="40% - Accent2 52 2" xfId="4211"/>
    <cellStyle name="40% - Accent2 52 2 2" xfId="9544"/>
    <cellStyle name="40% - Accent2 52 3" xfId="3198"/>
    <cellStyle name="40% - Accent2 52 3 2" xfId="8532"/>
    <cellStyle name="40% - Accent2 52 4" xfId="6551"/>
    <cellStyle name="40% - Accent2 53" xfId="1229"/>
    <cellStyle name="40% - Accent2 53 2" xfId="4212"/>
    <cellStyle name="40% - Accent2 53 2 2" xfId="9545"/>
    <cellStyle name="40% - Accent2 53 3" xfId="3199"/>
    <cellStyle name="40% - Accent2 53 3 2" xfId="8533"/>
    <cellStyle name="40% - Accent2 53 4" xfId="6565"/>
    <cellStyle name="40% - Accent2 54" xfId="1243"/>
    <cellStyle name="40% - Accent2 54 2" xfId="4213"/>
    <cellStyle name="40% - Accent2 54 2 2" xfId="9546"/>
    <cellStyle name="40% - Accent2 54 3" xfId="3200"/>
    <cellStyle name="40% - Accent2 54 3 2" xfId="8534"/>
    <cellStyle name="40% - Accent2 54 4" xfId="6579"/>
    <cellStyle name="40% - Accent2 55" xfId="1257"/>
    <cellStyle name="40% - Accent2 55 2" xfId="4214"/>
    <cellStyle name="40% - Accent2 55 2 2" xfId="9547"/>
    <cellStyle name="40% - Accent2 55 3" xfId="3201"/>
    <cellStyle name="40% - Accent2 55 3 2" xfId="8535"/>
    <cellStyle name="40% - Accent2 55 4" xfId="6593"/>
    <cellStyle name="40% - Accent2 56" xfId="1271"/>
    <cellStyle name="40% - Accent2 56 2" xfId="4215"/>
    <cellStyle name="40% - Accent2 56 2 2" xfId="9548"/>
    <cellStyle name="40% - Accent2 56 3" xfId="3202"/>
    <cellStyle name="40% - Accent2 56 3 2" xfId="8536"/>
    <cellStyle name="40% - Accent2 56 4" xfId="6607"/>
    <cellStyle name="40% - Accent2 57" xfId="1285"/>
    <cellStyle name="40% - Accent2 57 2" xfId="4216"/>
    <cellStyle name="40% - Accent2 57 2 2" xfId="9549"/>
    <cellStyle name="40% - Accent2 57 3" xfId="3203"/>
    <cellStyle name="40% - Accent2 57 3 2" xfId="8537"/>
    <cellStyle name="40% - Accent2 57 4" xfId="6621"/>
    <cellStyle name="40% - Accent2 58" xfId="1299"/>
    <cellStyle name="40% - Accent2 58 2" xfId="4217"/>
    <cellStyle name="40% - Accent2 58 2 2" xfId="9550"/>
    <cellStyle name="40% - Accent2 58 3" xfId="3204"/>
    <cellStyle name="40% - Accent2 58 3 2" xfId="8538"/>
    <cellStyle name="40% - Accent2 58 4" xfId="6635"/>
    <cellStyle name="40% - Accent2 59" xfId="1313"/>
    <cellStyle name="40% - Accent2 59 2" xfId="4218"/>
    <cellStyle name="40% - Accent2 59 2 2" xfId="9551"/>
    <cellStyle name="40% - Accent2 59 3" xfId="3205"/>
    <cellStyle name="40% - Accent2 59 3 2" xfId="8539"/>
    <cellStyle name="40% - Accent2 59 4" xfId="6649"/>
    <cellStyle name="40% - Accent2 6" xfId="107"/>
    <cellStyle name="40% - Accent2 6 2" xfId="584"/>
    <cellStyle name="40% - Accent2 6 2 2" xfId="4219"/>
    <cellStyle name="40% - Accent2 6 2 2 2" xfId="9552"/>
    <cellStyle name="40% - Accent2 6 2 3" xfId="2503"/>
    <cellStyle name="40% - Accent2 6 2 3 2" xfId="7837"/>
    <cellStyle name="40% - Accent2 6 2 4" xfId="5921"/>
    <cellStyle name="40% - Accent2 6 3" xfId="4220"/>
    <cellStyle name="40% - Accent2 6 3 2" xfId="9553"/>
    <cellStyle name="40% - Accent2 6 4" xfId="2502"/>
    <cellStyle name="40% - Accent2 6 4 2" xfId="7836"/>
    <cellStyle name="40% - Accent2 6 5" xfId="5445"/>
    <cellStyle name="40% - Accent2 60" xfId="1327"/>
    <cellStyle name="40% - Accent2 60 2" xfId="4221"/>
    <cellStyle name="40% - Accent2 60 2 2" xfId="9554"/>
    <cellStyle name="40% - Accent2 60 3" xfId="3206"/>
    <cellStyle name="40% - Accent2 60 3 2" xfId="8540"/>
    <cellStyle name="40% - Accent2 60 4" xfId="6663"/>
    <cellStyle name="40% - Accent2 61" xfId="1341"/>
    <cellStyle name="40% - Accent2 61 2" xfId="4222"/>
    <cellStyle name="40% - Accent2 61 2 2" xfId="9555"/>
    <cellStyle name="40% - Accent2 61 3" xfId="3207"/>
    <cellStyle name="40% - Accent2 61 3 2" xfId="8541"/>
    <cellStyle name="40% - Accent2 61 4" xfId="6677"/>
    <cellStyle name="40% - Accent2 62" xfId="1355"/>
    <cellStyle name="40% - Accent2 62 2" xfId="3208"/>
    <cellStyle name="40% - Accent2 62 2 2" xfId="8542"/>
    <cellStyle name="40% - Accent2 62 3" xfId="6691"/>
    <cellStyle name="40% - Accent2 63" xfId="1369"/>
    <cellStyle name="40% - Accent2 63 2" xfId="3209"/>
    <cellStyle name="40% - Accent2 63 2 2" xfId="8543"/>
    <cellStyle name="40% - Accent2 63 3" xfId="6705"/>
    <cellStyle name="40% - Accent2 64" xfId="1383"/>
    <cellStyle name="40% - Accent2 64 2" xfId="3210"/>
    <cellStyle name="40% - Accent2 64 2 2" xfId="8544"/>
    <cellStyle name="40% - Accent2 64 3" xfId="6719"/>
    <cellStyle name="40% - Accent2 65" xfId="1397"/>
    <cellStyle name="40% - Accent2 65 2" xfId="3211"/>
    <cellStyle name="40% - Accent2 65 2 2" xfId="8545"/>
    <cellStyle name="40% - Accent2 65 3" xfId="6733"/>
    <cellStyle name="40% - Accent2 66" xfId="1411"/>
    <cellStyle name="40% - Accent2 66 2" xfId="3212"/>
    <cellStyle name="40% - Accent2 66 2 2" xfId="8546"/>
    <cellStyle name="40% - Accent2 66 3" xfId="6747"/>
    <cellStyle name="40% - Accent2 67" xfId="1425"/>
    <cellStyle name="40% - Accent2 67 2" xfId="3213"/>
    <cellStyle name="40% - Accent2 67 2 2" xfId="8547"/>
    <cellStyle name="40% - Accent2 67 3" xfId="6761"/>
    <cellStyle name="40% - Accent2 68" xfId="1439"/>
    <cellStyle name="40% - Accent2 68 2" xfId="3214"/>
    <cellStyle name="40% - Accent2 68 2 2" xfId="8548"/>
    <cellStyle name="40% - Accent2 68 3" xfId="6775"/>
    <cellStyle name="40% - Accent2 69" xfId="1453"/>
    <cellStyle name="40% - Accent2 69 2" xfId="3215"/>
    <cellStyle name="40% - Accent2 69 2 2" xfId="8549"/>
    <cellStyle name="40% - Accent2 69 3" xfId="6789"/>
    <cellStyle name="40% - Accent2 7" xfId="121"/>
    <cellStyle name="40% - Accent2 7 2" xfId="598"/>
    <cellStyle name="40% - Accent2 7 2 2" xfId="4223"/>
    <cellStyle name="40% - Accent2 7 2 2 2" xfId="9556"/>
    <cellStyle name="40% - Accent2 7 2 3" xfId="2505"/>
    <cellStyle name="40% - Accent2 7 2 3 2" xfId="7839"/>
    <cellStyle name="40% - Accent2 7 2 4" xfId="5935"/>
    <cellStyle name="40% - Accent2 7 3" xfId="4224"/>
    <cellStyle name="40% - Accent2 7 3 2" xfId="9557"/>
    <cellStyle name="40% - Accent2 7 4" xfId="2504"/>
    <cellStyle name="40% - Accent2 7 4 2" xfId="7838"/>
    <cellStyle name="40% - Accent2 7 5" xfId="5459"/>
    <cellStyle name="40% - Accent2 70" xfId="1467"/>
    <cellStyle name="40% - Accent2 70 2" xfId="3216"/>
    <cellStyle name="40% - Accent2 70 2 2" xfId="8550"/>
    <cellStyle name="40% - Accent2 70 3" xfId="6803"/>
    <cellStyle name="40% - Accent2 71" xfId="1481"/>
    <cellStyle name="40% - Accent2 71 2" xfId="3217"/>
    <cellStyle name="40% - Accent2 71 2 2" xfId="8551"/>
    <cellStyle name="40% - Accent2 71 3" xfId="6817"/>
    <cellStyle name="40% - Accent2 72" xfId="1495"/>
    <cellStyle name="40% - Accent2 72 2" xfId="3218"/>
    <cellStyle name="40% - Accent2 72 2 2" xfId="8552"/>
    <cellStyle name="40% - Accent2 72 3" xfId="6831"/>
    <cellStyle name="40% - Accent2 73" xfId="1509"/>
    <cellStyle name="40% - Accent2 73 2" xfId="3219"/>
    <cellStyle name="40% - Accent2 73 2 2" xfId="8553"/>
    <cellStyle name="40% - Accent2 73 3" xfId="6845"/>
    <cellStyle name="40% - Accent2 74" xfId="1523"/>
    <cellStyle name="40% - Accent2 74 2" xfId="3220"/>
    <cellStyle name="40% - Accent2 74 2 2" xfId="8554"/>
    <cellStyle name="40% - Accent2 74 3" xfId="6859"/>
    <cellStyle name="40% - Accent2 75" xfId="1537"/>
    <cellStyle name="40% - Accent2 75 2" xfId="3221"/>
    <cellStyle name="40% - Accent2 75 2 2" xfId="8555"/>
    <cellStyle name="40% - Accent2 75 3" xfId="6873"/>
    <cellStyle name="40% - Accent2 76" xfId="1551"/>
    <cellStyle name="40% - Accent2 76 2" xfId="3460"/>
    <cellStyle name="40% - Accent2 76 2 2" xfId="8794"/>
    <cellStyle name="40% - Accent2 76 3" xfId="6887"/>
    <cellStyle name="40% - Accent2 77" xfId="1565"/>
    <cellStyle name="40% - Accent2 77 2" xfId="3461"/>
    <cellStyle name="40% - Accent2 77 2 2" xfId="8795"/>
    <cellStyle name="40% - Accent2 77 3" xfId="6901"/>
    <cellStyle name="40% - Accent2 78" xfId="1579"/>
    <cellStyle name="40% - Accent2 78 2" xfId="3462"/>
    <cellStyle name="40% - Accent2 78 2 2" xfId="8796"/>
    <cellStyle name="40% - Accent2 78 3" xfId="6915"/>
    <cellStyle name="40% - Accent2 79" xfId="1593"/>
    <cellStyle name="40% - Accent2 79 2" xfId="3463"/>
    <cellStyle name="40% - Accent2 79 2 2" xfId="8797"/>
    <cellStyle name="40% - Accent2 79 3" xfId="6929"/>
    <cellStyle name="40% - Accent2 8" xfId="135"/>
    <cellStyle name="40% - Accent2 8 2" xfId="612"/>
    <cellStyle name="40% - Accent2 8 2 2" xfId="4225"/>
    <cellStyle name="40% - Accent2 8 2 2 2" xfId="9558"/>
    <cellStyle name="40% - Accent2 8 2 3" xfId="2507"/>
    <cellStyle name="40% - Accent2 8 2 3 2" xfId="7841"/>
    <cellStyle name="40% - Accent2 8 2 4" xfId="5949"/>
    <cellStyle name="40% - Accent2 8 3" xfId="4226"/>
    <cellStyle name="40% - Accent2 8 3 2" xfId="9559"/>
    <cellStyle name="40% - Accent2 8 4" xfId="2506"/>
    <cellStyle name="40% - Accent2 8 4 2" xfId="7840"/>
    <cellStyle name="40% - Accent2 8 5" xfId="5473"/>
    <cellStyle name="40% - Accent2 80" xfId="1607"/>
    <cellStyle name="40% - Accent2 80 2" xfId="4829"/>
    <cellStyle name="40% - Accent2 80 2 2" xfId="10162"/>
    <cellStyle name="40% - Accent2 80 3" xfId="6943"/>
    <cellStyle name="40% - Accent2 81" xfId="1621"/>
    <cellStyle name="40% - Accent2 81 2" xfId="4830"/>
    <cellStyle name="40% - Accent2 81 2 2" xfId="10163"/>
    <cellStyle name="40% - Accent2 81 3" xfId="6957"/>
    <cellStyle name="40% - Accent2 82" xfId="1635"/>
    <cellStyle name="40% - Accent2 82 2" xfId="4831"/>
    <cellStyle name="40% - Accent2 82 2 2" xfId="10164"/>
    <cellStyle name="40% - Accent2 82 3" xfId="6971"/>
    <cellStyle name="40% - Accent2 83" xfId="1649"/>
    <cellStyle name="40% - Accent2 83 2" xfId="4832"/>
    <cellStyle name="40% - Accent2 83 2 2" xfId="10165"/>
    <cellStyle name="40% - Accent2 83 3" xfId="6985"/>
    <cellStyle name="40% - Accent2 84" xfId="1663"/>
    <cellStyle name="40% - Accent2 84 2" xfId="4833"/>
    <cellStyle name="40% - Accent2 84 2 2" xfId="10166"/>
    <cellStyle name="40% - Accent2 84 3" xfId="6999"/>
    <cellStyle name="40% - Accent2 85" xfId="1677"/>
    <cellStyle name="40% - Accent2 85 2" xfId="4883"/>
    <cellStyle name="40% - Accent2 85 2 2" xfId="10216"/>
    <cellStyle name="40% - Accent2 85 3" xfId="7013"/>
    <cellStyle name="40% - Accent2 86" xfId="1691"/>
    <cellStyle name="40% - Accent2 86 2" xfId="4884"/>
    <cellStyle name="40% - Accent2 86 2 2" xfId="10217"/>
    <cellStyle name="40% - Accent2 86 3" xfId="7027"/>
    <cellStyle name="40% - Accent2 87" xfId="1705"/>
    <cellStyle name="40% - Accent2 87 2" xfId="4885"/>
    <cellStyle name="40% - Accent2 87 2 2" xfId="10218"/>
    <cellStyle name="40% - Accent2 87 3" xfId="7041"/>
    <cellStyle name="40% - Accent2 88" xfId="1719"/>
    <cellStyle name="40% - Accent2 88 2" xfId="4948"/>
    <cellStyle name="40% - Accent2 88 2 2" xfId="10281"/>
    <cellStyle name="40% - Accent2 88 3" xfId="7055"/>
    <cellStyle name="40% - Accent2 89" xfId="1733"/>
    <cellStyle name="40% - Accent2 89 2" xfId="4949"/>
    <cellStyle name="40% - Accent2 89 2 2" xfId="10282"/>
    <cellStyle name="40% - Accent2 89 3" xfId="7069"/>
    <cellStyle name="40% - Accent2 9" xfId="149"/>
    <cellStyle name="40% - Accent2 9 2" xfId="626"/>
    <cellStyle name="40% - Accent2 9 2 2" xfId="4227"/>
    <cellStyle name="40% - Accent2 9 2 2 2" xfId="9560"/>
    <cellStyle name="40% - Accent2 9 2 3" xfId="2509"/>
    <cellStyle name="40% - Accent2 9 2 3 2" xfId="7843"/>
    <cellStyle name="40% - Accent2 9 2 4" xfId="5963"/>
    <cellStyle name="40% - Accent2 9 3" xfId="4228"/>
    <cellStyle name="40% - Accent2 9 3 2" xfId="9561"/>
    <cellStyle name="40% - Accent2 9 4" xfId="2508"/>
    <cellStyle name="40% - Accent2 9 4 2" xfId="7842"/>
    <cellStyle name="40% - Accent2 9 5" xfId="5487"/>
    <cellStyle name="40% - Accent2 90" xfId="1747"/>
    <cellStyle name="40% - Accent2 90 2" xfId="4950"/>
    <cellStyle name="40% - Accent2 90 2 2" xfId="10283"/>
    <cellStyle name="40% - Accent2 90 3" xfId="7083"/>
    <cellStyle name="40% - Accent2 91" xfId="1761"/>
    <cellStyle name="40% - Accent2 91 2" xfId="4951"/>
    <cellStyle name="40% - Accent2 91 2 2" xfId="10284"/>
    <cellStyle name="40% - Accent2 91 3" xfId="7097"/>
    <cellStyle name="40% - Accent2 92" xfId="1775"/>
    <cellStyle name="40% - Accent2 92 2" xfId="4952"/>
    <cellStyle name="40% - Accent2 92 2 2" xfId="10285"/>
    <cellStyle name="40% - Accent2 92 3" xfId="7111"/>
    <cellStyle name="40% - Accent2 93" xfId="1789"/>
    <cellStyle name="40% - Accent2 93 2" xfId="4953"/>
    <cellStyle name="40% - Accent2 93 2 2" xfId="10286"/>
    <cellStyle name="40% - Accent2 93 3" xfId="7125"/>
    <cellStyle name="40% - Accent2 94" xfId="1803"/>
    <cellStyle name="40% - Accent2 94 2" xfId="5003"/>
    <cellStyle name="40% - Accent2 94 2 2" xfId="10334"/>
    <cellStyle name="40% - Accent2 94 3" xfId="7139"/>
    <cellStyle name="40% - Accent2 95" xfId="1817"/>
    <cellStyle name="40% - Accent2 95 2" xfId="5004"/>
    <cellStyle name="40% - Accent2 95 2 2" xfId="10335"/>
    <cellStyle name="40% - Accent2 95 3" xfId="7153"/>
    <cellStyle name="40% - Accent2 96" xfId="1831"/>
    <cellStyle name="40% - Accent2 96 2" xfId="5046"/>
    <cellStyle name="40% - Accent2 96 2 2" xfId="10377"/>
    <cellStyle name="40% - Accent2 96 3" xfId="7167"/>
    <cellStyle name="40% - Accent2 97" xfId="1845"/>
    <cellStyle name="40% - Accent2 97 2" xfId="5047"/>
    <cellStyle name="40% - Accent2 97 2 2" xfId="10378"/>
    <cellStyle name="40% - Accent2 97 3" xfId="7181"/>
    <cellStyle name="40% - Accent2 98" xfId="1859"/>
    <cellStyle name="40% - Accent2 98 2" xfId="5048"/>
    <cellStyle name="40% - Accent2 98 2 2" xfId="10379"/>
    <cellStyle name="40% - Accent2 98 3" xfId="7195"/>
    <cellStyle name="40% - Accent2 99" xfId="1873"/>
    <cellStyle name="40% - Accent2 99 2" xfId="5049"/>
    <cellStyle name="40% - Accent2 99 2 2" xfId="10380"/>
    <cellStyle name="40% - Accent2 99 3" xfId="7209"/>
    <cellStyle name="40% - Accent3" xfId="9" builtinId="39" customBuiltin="1"/>
    <cellStyle name="40% - Accent3 10" xfId="165"/>
    <cellStyle name="40% - Accent3 10 2" xfId="642"/>
    <cellStyle name="40% - Accent3 10 2 2" xfId="4229"/>
    <cellStyle name="40% - Accent3 10 2 2 2" xfId="9562"/>
    <cellStyle name="40% - Accent3 10 2 3" xfId="2511"/>
    <cellStyle name="40% - Accent3 10 2 3 2" xfId="7845"/>
    <cellStyle name="40% - Accent3 10 2 4" xfId="5979"/>
    <cellStyle name="40% - Accent3 10 3" xfId="4230"/>
    <cellStyle name="40% - Accent3 10 3 2" xfId="9563"/>
    <cellStyle name="40% - Accent3 10 4" xfId="2510"/>
    <cellStyle name="40% - Accent3 10 4 2" xfId="7844"/>
    <cellStyle name="40% - Accent3 10 5" xfId="5503"/>
    <cellStyle name="40% - Accent3 100" xfId="1889"/>
    <cellStyle name="40% - Accent3 100 2" xfId="7225"/>
    <cellStyle name="40% - Accent3 101" xfId="1903"/>
    <cellStyle name="40% - Accent3 101 2" xfId="7239"/>
    <cellStyle name="40% - Accent3 102" xfId="1917"/>
    <cellStyle name="40% - Accent3 102 2" xfId="7253"/>
    <cellStyle name="40% - Accent3 103" xfId="5078"/>
    <cellStyle name="40% - Accent3 103 2" xfId="10409"/>
    <cellStyle name="40% - Accent3 104" xfId="5092"/>
    <cellStyle name="40% - Accent3 104 2" xfId="10423"/>
    <cellStyle name="40% - Accent3 105" xfId="5106"/>
    <cellStyle name="40% - Accent3 105 2" xfId="10437"/>
    <cellStyle name="40% - Accent3 106" xfId="5120"/>
    <cellStyle name="40% - Accent3 106 2" xfId="10451"/>
    <cellStyle name="40% - Accent3 107" xfId="5134"/>
    <cellStyle name="40% - Accent3 107 2" xfId="10465"/>
    <cellStyle name="40% - Accent3 108" xfId="5148"/>
    <cellStyle name="40% - Accent3 108 2" xfId="10479"/>
    <cellStyle name="40% - Accent3 109" xfId="5162"/>
    <cellStyle name="40% - Accent3 109 2" xfId="10493"/>
    <cellStyle name="40% - Accent3 11" xfId="179"/>
    <cellStyle name="40% - Accent3 11 2" xfId="656"/>
    <cellStyle name="40% - Accent3 11 2 2" xfId="4231"/>
    <cellStyle name="40% - Accent3 11 2 2 2" xfId="9564"/>
    <cellStyle name="40% - Accent3 11 2 3" xfId="2513"/>
    <cellStyle name="40% - Accent3 11 2 3 2" xfId="7847"/>
    <cellStyle name="40% - Accent3 11 2 4" xfId="5993"/>
    <cellStyle name="40% - Accent3 11 3" xfId="4232"/>
    <cellStyle name="40% - Accent3 11 3 2" xfId="9565"/>
    <cellStyle name="40% - Accent3 11 4" xfId="2512"/>
    <cellStyle name="40% - Accent3 11 4 2" xfId="7846"/>
    <cellStyle name="40% - Accent3 11 5" xfId="5517"/>
    <cellStyle name="40% - Accent3 110" xfId="5176"/>
    <cellStyle name="40% - Accent3 110 2" xfId="10507"/>
    <cellStyle name="40% - Accent3 111" xfId="5190"/>
    <cellStyle name="40% - Accent3 111 2" xfId="10521"/>
    <cellStyle name="40% - Accent3 112" xfId="5204"/>
    <cellStyle name="40% - Accent3 112 2" xfId="10535"/>
    <cellStyle name="40% - Accent3 113" xfId="5218"/>
    <cellStyle name="40% - Accent3 113 2" xfId="10549"/>
    <cellStyle name="40% - Accent3 114" xfId="5232"/>
    <cellStyle name="40% - Accent3 114 2" xfId="10563"/>
    <cellStyle name="40% - Accent3 115" xfId="5246"/>
    <cellStyle name="40% - Accent3 115 2" xfId="10577"/>
    <cellStyle name="40% - Accent3 116" xfId="5260"/>
    <cellStyle name="40% - Accent3 116 2" xfId="10591"/>
    <cellStyle name="40% - Accent3 117" xfId="5274"/>
    <cellStyle name="40% - Accent3 117 2" xfId="10605"/>
    <cellStyle name="40% - Accent3 118" xfId="5288"/>
    <cellStyle name="40% - Accent3 118 2" xfId="10619"/>
    <cellStyle name="40% - Accent3 119" xfId="5302"/>
    <cellStyle name="40% - Accent3 119 2" xfId="10633"/>
    <cellStyle name="40% - Accent3 12" xfId="193"/>
    <cellStyle name="40% - Accent3 12 2" xfId="670"/>
    <cellStyle name="40% - Accent3 12 2 2" xfId="4233"/>
    <cellStyle name="40% - Accent3 12 2 2 2" xfId="9566"/>
    <cellStyle name="40% - Accent3 12 2 3" xfId="2515"/>
    <cellStyle name="40% - Accent3 12 2 3 2" xfId="7849"/>
    <cellStyle name="40% - Accent3 12 2 4" xfId="6007"/>
    <cellStyle name="40% - Accent3 12 3" xfId="4234"/>
    <cellStyle name="40% - Accent3 12 3 2" xfId="9567"/>
    <cellStyle name="40% - Accent3 12 4" xfId="2514"/>
    <cellStyle name="40% - Accent3 12 4 2" xfId="7848"/>
    <cellStyle name="40% - Accent3 12 5" xfId="5531"/>
    <cellStyle name="40% - Accent3 120" xfId="5316"/>
    <cellStyle name="40% - Accent3 120 2" xfId="10647"/>
    <cellStyle name="40% - Accent3 121" xfId="5330"/>
    <cellStyle name="40% - Accent3 121 2" xfId="10661"/>
    <cellStyle name="40% - Accent3 122" xfId="5344"/>
    <cellStyle name="40% - Accent3 122 2" xfId="10675"/>
    <cellStyle name="40% - Accent3 123" xfId="5363"/>
    <cellStyle name="40% - Accent3 123 2" xfId="10692"/>
    <cellStyle name="40% - Accent3 124" xfId="10706"/>
    <cellStyle name="40% - Accent3 125" xfId="5378"/>
    <cellStyle name="40% - Accent3 126" xfId="10720"/>
    <cellStyle name="40% - Accent3 127" xfId="10734"/>
    <cellStyle name="40% - Accent3 128" xfId="10748"/>
    <cellStyle name="40% - Accent3 129" xfId="10762"/>
    <cellStyle name="40% - Accent3 13" xfId="207"/>
    <cellStyle name="40% - Accent3 13 2" xfId="684"/>
    <cellStyle name="40% - Accent3 13 2 2" xfId="4235"/>
    <cellStyle name="40% - Accent3 13 2 2 2" xfId="9568"/>
    <cellStyle name="40% - Accent3 13 2 3" xfId="2517"/>
    <cellStyle name="40% - Accent3 13 2 3 2" xfId="7851"/>
    <cellStyle name="40% - Accent3 13 2 4" xfId="6021"/>
    <cellStyle name="40% - Accent3 13 3" xfId="4236"/>
    <cellStyle name="40% - Accent3 13 3 2" xfId="9569"/>
    <cellStyle name="40% - Accent3 13 4" xfId="2516"/>
    <cellStyle name="40% - Accent3 13 4 2" xfId="7850"/>
    <cellStyle name="40% - Accent3 13 5" xfId="5545"/>
    <cellStyle name="40% - Accent3 130" xfId="10776"/>
    <cellStyle name="40% - Accent3 131" xfId="10791"/>
    <cellStyle name="40% - Accent3 132" xfId="10805"/>
    <cellStyle name="40% - Accent3 133" xfId="10819"/>
    <cellStyle name="40% - Accent3 134" xfId="10833"/>
    <cellStyle name="40% - Accent3 135" xfId="10847"/>
    <cellStyle name="40% - Accent3 136" xfId="10861"/>
    <cellStyle name="40% - Accent3 137" xfId="10875"/>
    <cellStyle name="40% - Accent3 138" xfId="10889"/>
    <cellStyle name="40% - Accent3 139" xfId="10903"/>
    <cellStyle name="40% - Accent3 14" xfId="221"/>
    <cellStyle name="40% - Accent3 14 2" xfId="698"/>
    <cellStyle name="40% - Accent3 14 2 2" xfId="4237"/>
    <cellStyle name="40% - Accent3 14 2 2 2" xfId="9570"/>
    <cellStyle name="40% - Accent3 14 2 3" xfId="2519"/>
    <cellStyle name="40% - Accent3 14 2 3 2" xfId="7853"/>
    <cellStyle name="40% - Accent3 14 2 4" xfId="6035"/>
    <cellStyle name="40% - Accent3 14 3" xfId="4238"/>
    <cellStyle name="40% - Accent3 14 3 2" xfId="9571"/>
    <cellStyle name="40% - Accent3 14 4" xfId="2518"/>
    <cellStyle name="40% - Accent3 14 4 2" xfId="7852"/>
    <cellStyle name="40% - Accent3 14 5" xfId="5559"/>
    <cellStyle name="40% - Accent3 140" xfId="10917"/>
    <cellStyle name="40% - Accent3 141" xfId="10931"/>
    <cellStyle name="40% - Accent3 142" xfId="10945"/>
    <cellStyle name="40% - Accent3 143" xfId="10959"/>
    <cellStyle name="40% - Accent3 144" xfId="10973"/>
    <cellStyle name="40% - Accent3 145" xfId="10987"/>
    <cellStyle name="40% - Accent3 146" xfId="11001"/>
    <cellStyle name="40% - Accent3 147" xfId="11015"/>
    <cellStyle name="40% - Accent3 148" xfId="11029"/>
    <cellStyle name="40% - Accent3 149" xfId="11043"/>
    <cellStyle name="40% - Accent3 15" xfId="235"/>
    <cellStyle name="40% - Accent3 15 2" xfId="712"/>
    <cellStyle name="40% - Accent3 15 2 2" xfId="4239"/>
    <cellStyle name="40% - Accent3 15 2 2 2" xfId="9572"/>
    <cellStyle name="40% - Accent3 15 2 3" xfId="2521"/>
    <cellStyle name="40% - Accent3 15 2 3 2" xfId="7855"/>
    <cellStyle name="40% - Accent3 15 2 4" xfId="6049"/>
    <cellStyle name="40% - Accent3 15 3" xfId="4240"/>
    <cellStyle name="40% - Accent3 15 3 2" xfId="9573"/>
    <cellStyle name="40% - Accent3 15 4" xfId="2520"/>
    <cellStyle name="40% - Accent3 15 4 2" xfId="7854"/>
    <cellStyle name="40% - Accent3 15 5" xfId="5573"/>
    <cellStyle name="40% - Accent3 150" xfId="11057"/>
    <cellStyle name="40% - Accent3 16" xfId="249"/>
    <cellStyle name="40% - Accent3 16 2" xfId="726"/>
    <cellStyle name="40% - Accent3 16 2 2" xfId="4241"/>
    <cellStyle name="40% - Accent3 16 2 2 2" xfId="9574"/>
    <cellStyle name="40% - Accent3 16 2 3" xfId="2523"/>
    <cellStyle name="40% - Accent3 16 2 3 2" xfId="7857"/>
    <cellStyle name="40% - Accent3 16 2 4" xfId="6063"/>
    <cellStyle name="40% - Accent3 16 3" xfId="4242"/>
    <cellStyle name="40% - Accent3 16 3 2" xfId="9575"/>
    <cellStyle name="40% - Accent3 16 4" xfId="2522"/>
    <cellStyle name="40% - Accent3 16 4 2" xfId="7856"/>
    <cellStyle name="40% - Accent3 16 5" xfId="5587"/>
    <cellStyle name="40% - Accent3 17" xfId="263"/>
    <cellStyle name="40% - Accent3 17 2" xfId="740"/>
    <cellStyle name="40% - Accent3 17 2 2" xfId="4243"/>
    <cellStyle name="40% - Accent3 17 2 2 2" xfId="9576"/>
    <cellStyle name="40% - Accent3 17 2 3" xfId="2525"/>
    <cellStyle name="40% - Accent3 17 2 3 2" xfId="7859"/>
    <cellStyle name="40% - Accent3 17 2 4" xfId="6077"/>
    <cellStyle name="40% - Accent3 17 3" xfId="4244"/>
    <cellStyle name="40% - Accent3 17 3 2" xfId="9577"/>
    <cellStyle name="40% - Accent3 17 4" xfId="2524"/>
    <cellStyle name="40% - Accent3 17 4 2" xfId="7858"/>
    <cellStyle name="40% - Accent3 17 5" xfId="5601"/>
    <cellStyle name="40% - Accent3 18" xfId="277"/>
    <cellStyle name="40% - Accent3 18 2" xfId="754"/>
    <cellStyle name="40% - Accent3 18 2 2" xfId="4245"/>
    <cellStyle name="40% - Accent3 18 2 2 2" xfId="9578"/>
    <cellStyle name="40% - Accent3 18 2 3" xfId="2527"/>
    <cellStyle name="40% - Accent3 18 2 3 2" xfId="7861"/>
    <cellStyle name="40% - Accent3 18 2 4" xfId="6091"/>
    <cellStyle name="40% - Accent3 18 3" xfId="4246"/>
    <cellStyle name="40% - Accent3 18 3 2" xfId="9579"/>
    <cellStyle name="40% - Accent3 18 4" xfId="2526"/>
    <cellStyle name="40% - Accent3 18 4 2" xfId="7860"/>
    <cellStyle name="40% - Accent3 18 5" xfId="5615"/>
    <cellStyle name="40% - Accent3 19" xfId="291"/>
    <cellStyle name="40% - Accent3 19 2" xfId="768"/>
    <cellStyle name="40% - Accent3 19 2 2" xfId="4247"/>
    <cellStyle name="40% - Accent3 19 2 2 2" xfId="9580"/>
    <cellStyle name="40% - Accent3 19 2 3" xfId="2529"/>
    <cellStyle name="40% - Accent3 19 2 3 2" xfId="7863"/>
    <cellStyle name="40% - Accent3 19 2 4" xfId="6105"/>
    <cellStyle name="40% - Accent3 19 3" xfId="4248"/>
    <cellStyle name="40% - Accent3 19 3 2" xfId="9581"/>
    <cellStyle name="40% - Accent3 19 4" xfId="2528"/>
    <cellStyle name="40% - Accent3 19 4 2" xfId="7862"/>
    <cellStyle name="40% - Accent3 19 5" xfId="5629"/>
    <cellStyle name="40% - Accent3 2" xfId="53"/>
    <cellStyle name="40% - Accent3 2 2" xfId="530"/>
    <cellStyle name="40% - Accent3 2 2 2" xfId="4249"/>
    <cellStyle name="40% - Accent3 2 2 2 2" xfId="9582"/>
    <cellStyle name="40% - Accent3 2 2 3" xfId="2531"/>
    <cellStyle name="40% - Accent3 2 2 3 2" xfId="7865"/>
    <cellStyle name="40% - Accent3 2 2 4" xfId="5867"/>
    <cellStyle name="40% - Accent3 2 3" xfId="4250"/>
    <cellStyle name="40% - Accent3 2 3 2" xfId="9583"/>
    <cellStyle name="40% - Accent3 2 4" xfId="2530"/>
    <cellStyle name="40% - Accent3 2 4 2" xfId="7864"/>
    <cellStyle name="40% - Accent3 2 5" xfId="5391"/>
    <cellStyle name="40% - Accent3 20" xfId="305"/>
    <cellStyle name="40% - Accent3 20 2" xfId="782"/>
    <cellStyle name="40% - Accent3 20 2 2" xfId="4251"/>
    <cellStyle name="40% - Accent3 20 2 2 2" xfId="9584"/>
    <cellStyle name="40% - Accent3 20 2 3" xfId="2533"/>
    <cellStyle name="40% - Accent3 20 2 3 2" xfId="7867"/>
    <cellStyle name="40% - Accent3 20 2 4" xfId="6119"/>
    <cellStyle name="40% - Accent3 20 3" xfId="4252"/>
    <cellStyle name="40% - Accent3 20 3 2" xfId="9585"/>
    <cellStyle name="40% - Accent3 20 4" xfId="2532"/>
    <cellStyle name="40% - Accent3 20 4 2" xfId="7866"/>
    <cellStyle name="40% - Accent3 20 5" xfId="5643"/>
    <cellStyle name="40% - Accent3 21" xfId="320"/>
    <cellStyle name="40% - Accent3 21 2" xfId="797"/>
    <cellStyle name="40% - Accent3 21 2 2" xfId="4253"/>
    <cellStyle name="40% - Accent3 21 2 2 2" xfId="9586"/>
    <cellStyle name="40% - Accent3 21 2 3" xfId="2535"/>
    <cellStyle name="40% - Accent3 21 2 3 2" xfId="7869"/>
    <cellStyle name="40% - Accent3 21 2 4" xfId="6133"/>
    <cellStyle name="40% - Accent3 21 3" xfId="4254"/>
    <cellStyle name="40% - Accent3 21 3 2" xfId="9587"/>
    <cellStyle name="40% - Accent3 21 4" xfId="2534"/>
    <cellStyle name="40% - Accent3 21 4 2" xfId="7868"/>
    <cellStyle name="40% - Accent3 21 5" xfId="5657"/>
    <cellStyle name="40% - Accent3 22" xfId="334"/>
    <cellStyle name="40% - Accent3 22 2" xfId="811"/>
    <cellStyle name="40% - Accent3 22 2 2" xfId="4255"/>
    <cellStyle name="40% - Accent3 22 2 2 2" xfId="9588"/>
    <cellStyle name="40% - Accent3 22 2 3" xfId="2537"/>
    <cellStyle name="40% - Accent3 22 2 3 2" xfId="7871"/>
    <cellStyle name="40% - Accent3 22 2 4" xfId="6147"/>
    <cellStyle name="40% - Accent3 22 3" xfId="4256"/>
    <cellStyle name="40% - Accent3 22 3 2" xfId="9589"/>
    <cellStyle name="40% - Accent3 22 4" xfId="2536"/>
    <cellStyle name="40% - Accent3 22 4 2" xfId="7870"/>
    <cellStyle name="40% - Accent3 22 5" xfId="5671"/>
    <cellStyle name="40% - Accent3 23" xfId="348"/>
    <cellStyle name="40% - Accent3 23 2" xfId="825"/>
    <cellStyle name="40% - Accent3 23 2 2" xfId="4257"/>
    <cellStyle name="40% - Accent3 23 2 2 2" xfId="9590"/>
    <cellStyle name="40% - Accent3 23 2 3" xfId="2539"/>
    <cellStyle name="40% - Accent3 23 2 3 2" xfId="7873"/>
    <cellStyle name="40% - Accent3 23 2 4" xfId="6161"/>
    <cellStyle name="40% - Accent3 23 3" xfId="4258"/>
    <cellStyle name="40% - Accent3 23 3 2" xfId="9591"/>
    <cellStyle name="40% - Accent3 23 4" xfId="2538"/>
    <cellStyle name="40% - Accent3 23 4 2" xfId="7872"/>
    <cellStyle name="40% - Accent3 23 5" xfId="5685"/>
    <cellStyle name="40% - Accent3 24" xfId="362"/>
    <cellStyle name="40% - Accent3 24 2" xfId="839"/>
    <cellStyle name="40% - Accent3 24 2 2" xfId="4259"/>
    <cellStyle name="40% - Accent3 24 2 2 2" xfId="9592"/>
    <cellStyle name="40% - Accent3 24 2 3" xfId="2541"/>
    <cellStyle name="40% - Accent3 24 2 3 2" xfId="7875"/>
    <cellStyle name="40% - Accent3 24 2 4" xfId="6175"/>
    <cellStyle name="40% - Accent3 24 3" xfId="4260"/>
    <cellStyle name="40% - Accent3 24 3 2" xfId="9593"/>
    <cellStyle name="40% - Accent3 24 4" xfId="2540"/>
    <cellStyle name="40% - Accent3 24 4 2" xfId="7874"/>
    <cellStyle name="40% - Accent3 24 5" xfId="5699"/>
    <cellStyle name="40% - Accent3 25" xfId="376"/>
    <cellStyle name="40% - Accent3 25 2" xfId="853"/>
    <cellStyle name="40% - Accent3 25 2 2" xfId="4261"/>
    <cellStyle name="40% - Accent3 25 2 2 2" xfId="9594"/>
    <cellStyle name="40% - Accent3 25 2 3" xfId="2543"/>
    <cellStyle name="40% - Accent3 25 2 3 2" xfId="7877"/>
    <cellStyle name="40% - Accent3 25 2 4" xfId="6189"/>
    <cellStyle name="40% - Accent3 25 3" xfId="4262"/>
    <cellStyle name="40% - Accent3 25 3 2" xfId="9595"/>
    <cellStyle name="40% - Accent3 25 4" xfId="2542"/>
    <cellStyle name="40% - Accent3 25 4 2" xfId="7876"/>
    <cellStyle name="40% - Accent3 25 5" xfId="5713"/>
    <cellStyle name="40% - Accent3 26" xfId="390"/>
    <cellStyle name="40% - Accent3 26 2" xfId="867"/>
    <cellStyle name="40% - Accent3 26 2 2" xfId="4263"/>
    <cellStyle name="40% - Accent3 26 2 2 2" xfId="9596"/>
    <cellStyle name="40% - Accent3 26 2 3" xfId="2545"/>
    <cellStyle name="40% - Accent3 26 2 3 2" xfId="7879"/>
    <cellStyle name="40% - Accent3 26 2 4" xfId="6203"/>
    <cellStyle name="40% - Accent3 26 3" xfId="4264"/>
    <cellStyle name="40% - Accent3 26 3 2" xfId="9597"/>
    <cellStyle name="40% - Accent3 26 4" xfId="2544"/>
    <cellStyle name="40% - Accent3 26 4 2" xfId="7878"/>
    <cellStyle name="40% - Accent3 26 5" xfId="5727"/>
    <cellStyle name="40% - Accent3 27" xfId="404"/>
    <cellStyle name="40% - Accent3 27 2" xfId="881"/>
    <cellStyle name="40% - Accent3 27 2 2" xfId="4265"/>
    <cellStyle name="40% - Accent3 27 2 2 2" xfId="9598"/>
    <cellStyle name="40% - Accent3 27 2 3" xfId="2547"/>
    <cellStyle name="40% - Accent3 27 2 3 2" xfId="7881"/>
    <cellStyle name="40% - Accent3 27 2 4" xfId="6217"/>
    <cellStyle name="40% - Accent3 27 3" xfId="4266"/>
    <cellStyle name="40% - Accent3 27 3 2" xfId="9599"/>
    <cellStyle name="40% - Accent3 27 4" xfId="2546"/>
    <cellStyle name="40% - Accent3 27 4 2" xfId="7880"/>
    <cellStyle name="40% - Accent3 27 5" xfId="5741"/>
    <cellStyle name="40% - Accent3 28" xfId="418"/>
    <cellStyle name="40% - Accent3 28 2" xfId="895"/>
    <cellStyle name="40% - Accent3 28 2 2" xfId="4267"/>
    <cellStyle name="40% - Accent3 28 2 2 2" xfId="9600"/>
    <cellStyle name="40% - Accent3 28 2 3" xfId="2549"/>
    <cellStyle name="40% - Accent3 28 2 3 2" xfId="7883"/>
    <cellStyle name="40% - Accent3 28 2 4" xfId="6231"/>
    <cellStyle name="40% - Accent3 28 3" xfId="4268"/>
    <cellStyle name="40% - Accent3 28 3 2" xfId="9601"/>
    <cellStyle name="40% - Accent3 28 4" xfId="2548"/>
    <cellStyle name="40% - Accent3 28 4 2" xfId="7882"/>
    <cellStyle name="40% - Accent3 28 5" xfId="5755"/>
    <cellStyle name="40% - Accent3 29" xfId="432"/>
    <cellStyle name="40% - Accent3 29 2" xfId="909"/>
    <cellStyle name="40% - Accent3 29 2 2" xfId="4269"/>
    <cellStyle name="40% - Accent3 29 2 2 2" xfId="9602"/>
    <cellStyle name="40% - Accent3 29 2 3" xfId="2551"/>
    <cellStyle name="40% - Accent3 29 2 3 2" xfId="7885"/>
    <cellStyle name="40% - Accent3 29 2 4" xfId="6245"/>
    <cellStyle name="40% - Accent3 29 3" xfId="4270"/>
    <cellStyle name="40% - Accent3 29 3 2" xfId="9603"/>
    <cellStyle name="40% - Accent3 29 4" xfId="2550"/>
    <cellStyle name="40% - Accent3 29 4 2" xfId="7884"/>
    <cellStyle name="40% - Accent3 29 5" xfId="5769"/>
    <cellStyle name="40% - Accent3 3" xfId="67"/>
    <cellStyle name="40% - Accent3 3 2" xfId="544"/>
    <cellStyle name="40% - Accent3 3 2 2" xfId="4271"/>
    <cellStyle name="40% - Accent3 3 2 2 2" xfId="9604"/>
    <cellStyle name="40% - Accent3 3 2 3" xfId="2553"/>
    <cellStyle name="40% - Accent3 3 2 3 2" xfId="7887"/>
    <cellStyle name="40% - Accent3 3 2 4" xfId="5881"/>
    <cellStyle name="40% - Accent3 3 3" xfId="4272"/>
    <cellStyle name="40% - Accent3 3 3 2" xfId="9605"/>
    <cellStyle name="40% - Accent3 3 4" xfId="2552"/>
    <cellStyle name="40% - Accent3 3 4 2" xfId="7886"/>
    <cellStyle name="40% - Accent3 3 5" xfId="5405"/>
    <cellStyle name="40% - Accent3 30" xfId="446"/>
    <cellStyle name="40% - Accent3 30 2" xfId="923"/>
    <cellStyle name="40% - Accent3 30 2 2" xfId="4273"/>
    <cellStyle name="40% - Accent3 30 2 2 2" xfId="9606"/>
    <cellStyle name="40% - Accent3 30 2 3" xfId="2555"/>
    <cellStyle name="40% - Accent3 30 2 3 2" xfId="7889"/>
    <cellStyle name="40% - Accent3 30 2 4" xfId="6259"/>
    <cellStyle name="40% - Accent3 30 3" xfId="4274"/>
    <cellStyle name="40% - Accent3 30 3 2" xfId="9607"/>
    <cellStyle name="40% - Accent3 30 4" xfId="2554"/>
    <cellStyle name="40% - Accent3 30 4 2" xfId="7888"/>
    <cellStyle name="40% - Accent3 30 5" xfId="5783"/>
    <cellStyle name="40% - Accent3 31" xfId="460"/>
    <cellStyle name="40% - Accent3 31 2" xfId="937"/>
    <cellStyle name="40% - Accent3 31 2 2" xfId="4275"/>
    <cellStyle name="40% - Accent3 31 2 2 2" xfId="9608"/>
    <cellStyle name="40% - Accent3 31 2 3" xfId="2557"/>
    <cellStyle name="40% - Accent3 31 2 3 2" xfId="7891"/>
    <cellStyle name="40% - Accent3 31 2 4" xfId="6273"/>
    <cellStyle name="40% - Accent3 31 3" xfId="4276"/>
    <cellStyle name="40% - Accent3 31 3 2" xfId="9609"/>
    <cellStyle name="40% - Accent3 31 4" xfId="2556"/>
    <cellStyle name="40% - Accent3 31 4 2" xfId="7890"/>
    <cellStyle name="40% - Accent3 31 5" xfId="5797"/>
    <cellStyle name="40% - Accent3 32" xfId="474"/>
    <cellStyle name="40% - Accent3 32 2" xfId="951"/>
    <cellStyle name="40% - Accent3 32 2 2" xfId="4277"/>
    <cellStyle name="40% - Accent3 32 2 2 2" xfId="9610"/>
    <cellStyle name="40% - Accent3 32 2 3" xfId="2559"/>
    <cellStyle name="40% - Accent3 32 2 3 2" xfId="7893"/>
    <cellStyle name="40% - Accent3 32 2 4" xfId="6287"/>
    <cellStyle name="40% - Accent3 32 3" xfId="4278"/>
    <cellStyle name="40% - Accent3 32 3 2" xfId="9611"/>
    <cellStyle name="40% - Accent3 32 4" xfId="2558"/>
    <cellStyle name="40% - Accent3 32 4 2" xfId="7892"/>
    <cellStyle name="40% - Accent3 32 5" xfId="5811"/>
    <cellStyle name="40% - Accent3 33" xfId="488"/>
    <cellStyle name="40% - Accent3 33 2" xfId="965"/>
    <cellStyle name="40% - Accent3 33 2 2" xfId="4279"/>
    <cellStyle name="40% - Accent3 33 2 2 2" xfId="9612"/>
    <cellStyle name="40% - Accent3 33 2 3" xfId="2561"/>
    <cellStyle name="40% - Accent3 33 2 3 2" xfId="7895"/>
    <cellStyle name="40% - Accent3 33 2 4" xfId="6301"/>
    <cellStyle name="40% - Accent3 33 3" xfId="4280"/>
    <cellStyle name="40% - Accent3 33 3 2" xfId="9613"/>
    <cellStyle name="40% - Accent3 33 4" xfId="2560"/>
    <cellStyle name="40% - Accent3 33 4 2" xfId="7894"/>
    <cellStyle name="40% - Accent3 33 5" xfId="5825"/>
    <cellStyle name="40% - Accent3 34" xfId="502"/>
    <cellStyle name="40% - Accent3 34 2" xfId="979"/>
    <cellStyle name="40% - Accent3 34 2 2" xfId="4281"/>
    <cellStyle name="40% - Accent3 34 2 2 2" xfId="9614"/>
    <cellStyle name="40% - Accent3 34 2 3" xfId="2563"/>
    <cellStyle name="40% - Accent3 34 2 3 2" xfId="7897"/>
    <cellStyle name="40% - Accent3 34 2 4" xfId="6315"/>
    <cellStyle name="40% - Accent3 34 3" xfId="4282"/>
    <cellStyle name="40% - Accent3 34 3 2" xfId="9615"/>
    <cellStyle name="40% - Accent3 34 4" xfId="2562"/>
    <cellStyle name="40% - Accent3 34 4 2" xfId="7896"/>
    <cellStyle name="40% - Accent3 34 5" xfId="5839"/>
    <cellStyle name="40% - Accent3 35" xfId="993"/>
    <cellStyle name="40% - Accent3 35 2" xfId="4283"/>
    <cellStyle name="40% - Accent3 35 2 2" xfId="9616"/>
    <cellStyle name="40% - Accent3 35 3" xfId="2564"/>
    <cellStyle name="40% - Accent3 35 3 2" xfId="7898"/>
    <cellStyle name="40% - Accent3 35 4" xfId="6329"/>
    <cellStyle name="40% - Accent3 36" xfId="1007"/>
    <cellStyle name="40% - Accent3 36 2" xfId="4284"/>
    <cellStyle name="40% - Accent3 36 2 2" xfId="9617"/>
    <cellStyle name="40% - Accent3 36 3" xfId="2565"/>
    <cellStyle name="40% - Accent3 36 3 2" xfId="7899"/>
    <cellStyle name="40% - Accent3 36 4" xfId="6343"/>
    <cellStyle name="40% - Accent3 37" xfId="1021"/>
    <cellStyle name="40% - Accent3 37 2" xfId="4285"/>
    <cellStyle name="40% - Accent3 37 2 2" xfId="9618"/>
    <cellStyle name="40% - Accent3 37 3" xfId="2566"/>
    <cellStyle name="40% - Accent3 37 3 2" xfId="7900"/>
    <cellStyle name="40% - Accent3 37 4" xfId="6357"/>
    <cellStyle name="40% - Accent3 38" xfId="517"/>
    <cellStyle name="40% - Accent3 38 2" xfId="4286"/>
    <cellStyle name="40% - Accent3 38 2 2" xfId="9619"/>
    <cellStyle name="40% - Accent3 38 3" xfId="2567"/>
    <cellStyle name="40% - Accent3 38 3 2" xfId="7901"/>
    <cellStyle name="40% - Accent3 38 4" xfId="5854"/>
    <cellStyle name="40% - Accent3 39" xfId="1035"/>
    <cellStyle name="40% - Accent3 39 2" xfId="4287"/>
    <cellStyle name="40% - Accent3 39 2 2" xfId="9620"/>
    <cellStyle name="40% - Accent3 39 3" xfId="3222"/>
    <cellStyle name="40% - Accent3 39 3 2" xfId="8556"/>
    <cellStyle name="40% - Accent3 39 4" xfId="6371"/>
    <cellStyle name="40% - Accent3 4" xfId="81"/>
    <cellStyle name="40% - Accent3 4 2" xfId="558"/>
    <cellStyle name="40% - Accent3 4 2 2" xfId="4288"/>
    <cellStyle name="40% - Accent3 4 2 2 2" xfId="9621"/>
    <cellStyle name="40% - Accent3 4 2 3" xfId="2569"/>
    <cellStyle name="40% - Accent3 4 2 3 2" xfId="7903"/>
    <cellStyle name="40% - Accent3 4 2 4" xfId="5895"/>
    <cellStyle name="40% - Accent3 4 3" xfId="4289"/>
    <cellStyle name="40% - Accent3 4 3 2" xfId="9622"/>
    <cellStyle name="40% - Accent3 4 4" xfId="2568"/>
    <cellStyle name="40% - Accent3 4 4 2" xfId="7902"/>
    <cellStyle name="40% - Accent3 4 5" xfId="5419"/>
    <cellStyle name="40% - Accent3 40" xfId="1049"/>
    <cellStyle name="40% - Accent3 40 2" xfId="4290"/>
    <cellStyle name="40% - Accent3 40 2 2" xfId="9623"/>
    <cellStyle name="40% - Accent3 40 3" xfId="3223"/>
    <cellStyle name="40% - Accent3 40 3 2" xfId="8557"/>
    <cellStyle name="40% - Accent3 40 4" xfId="6385"/>
    <cellStyle name="40% - Accent3 41" xfId="1063"/>
    <cellStyle name="40% - Accent3 41 2" xfId="4291"/>
    <cellStyle name="40% - Accent3 41 2 2" xfId="9624"/>
    <cellStyle name="40% - Accent3 41 3" xfId="3224"/>
    <cellStyle name="40% - Accent3 41 3 2" xfId="8558"/>
    <cellStyle name="40% - Accent3 41 4" xfId="6399"/>
    <cellStyle name="40% - Accent3 42" xfId="1077"/>
    <cellStyle name="40% - Accent3 42 2" xfId="4292"/>
    <cellStyle name="40% - Accent3 42 2 2" xfId="9625"/>
    <cellStyle name="40% - Accent3 42 3" xfId="3225"/>
    <cellStyle name="40% - Accent3 42 3 2" xfId="8559"/>
    <cellStyle name="40% - Accent3 42 4" xfId="6413"/>
    <cellStyle name="40% - Accent3 43" xfId="1091"/>
    <cellStyle name="40% - Accent3 43 2" xfId="4293"/>
    <cellStyle name="40% - Accent3 43 2 2" xfId="9626"/>
    <cellStyle name="40% - Accent3 43 3" xfId="3226"/>
    <cellStyle name="40% - Accent3 43 3 2" xfId="8560"/>
    <cellStyle name="40% - Accent3 43 4" xfId="6427"/>
    <cellStyle name="40% - Accent3 44" xfId="1105"/>
    <cellStyle name="40% - Accent3 44 2" xfId="4294"/>
    <cellStyle name="40% - Accent3 44 2 2" xfId="9627"/>
    <cellStyle name="40% - Accent3 44 3" xfId="3227"/>
    <cellStyle name="40% - Accent3 44 3 2" xfId="8561"/>
    <cellStyle name="40% - Accent3 44 4" xfId="6441"/>
    <cellStyle name="40% - Accent3 45" xfId="1119"/>
    <cellStyle name="40% - Accent3 45 2" xfId="4295"/>
    <cellStyle name="40% - Accent3 45 2 2" xfId="9628"/>
    <cellStyle name="40% - Accent3 45 3" xfId="3228"/>
    <cellStyle name="40% - Accent3 45 3 2" xfId="8562"/>
    <cellStyle name="40% - Accent3 45 4" xfId="6455"/>
    <cellStyle name="40% - Accent3 46" xfId="1133"/>
    <cellStyle name="40% - Accent3 46 2" xfId="4296"/>
    <cellStyle name="40% - Accent3 46 2 2" xfId="9629"/>
    <cellStyle name="40% - Accent3 46 3" xfId="3229"/>
    <cellStyle name="40% - Accent3 46 3 2" xfId="8563"/>
    <cellStyle name="40% - Accent3 46 4" xfId="6469"/>
    <cellStyle name="40% - Accent3 47" xfId="1147"/>
    <cellStyle name="40% - Accent3 47 2" xfId="4297"/>
    <cellStyle name="40% - Accent3 47 2 2" xfId="9630"/>
    <cellStyle name="40% - Accent3 47 3" xfId="3230"/>
    <cellStyle name="40% - Accent3 47 3 2" xfId="8564"/>
    <cellStyle name="40% - Accent3 47 4" xfId="6483"/>
    <cellStyle name="40% - Accent3 48" xfId="1161"/>
    <cellStyle name="40% - Accent3 48 2" xfId="4298"/>
    <cellStyle name="40% - Accent3 48 2 2" xfId="9631"/>
    <cellStyle name="40% - Accent3 48 3" xfId="3231"/>
    <cellStyle name="40% - Accent3 48 3 2" xfId="8565"/>
    <cellStyle name="40% - Accent3 48 4" xfId="6497"/>
    <cellStyle name="40% - Accent3 49" xfId="1175"/>
    <cellStyle name="40% - Accent3 49 2" xfId="4299"/>
    <cellStyle name="40% - Accent3 49 2 2" xfId="9632"/>
    <cellStyle name="40% - Accent3 49 3" xfId="3232"/>
    <cellStyle name="40% - Accent3 49 3 2" xfId="8566"/>
    <cellStyle name="40% - Accent3 49 4" xfId="6511"/>
    <cellStyle name="40% - Accent3 5" xfId="95"/>
    <cellStyle name="40% - Accent3 5 2" xfId="572"/>
    <cellStyle name="40% - Accent3 5 2 2" xfId="4300"/>
    <cellStyle name="40% - Accent3 5 2 2 2" xfId="9633"/>
    <cellStyle name="40% - Accent3 5 2 3" xfId="2571"/>
    <cellStyle name="40% - Accent3 5 2 3 2" xfId="7905"/>
    <cellStyle name="40% - Accent3 5 2 4" xfId="5909"/>
    <cellStyle name="40% - Accent3 5 3" xfId="4301"/>
    <cellStyle name="40% - Accent3 5 3 2" xfId="9634"/>
    <cellStyle name="40% - Accent3 5 4" xfId="2570"/>
    <cellStyle name="40% - Accent3 5 4 2" xfId="7904"/>
    <cellStyle name="40% - Accent3 5 5" xfId="5433"/>
    <cellStyle name="40% - Accent3 50" xfId="1189"/>
    <cellStyle name="40% - Accent3 50 2" xfId="4302"/>
    <cellStyle name="40% - Accent3 50 2 2" xfId="9635"/>
    <cellStyle name="40% - Accent3 50 3" xfId="3233"/>
    <cellStyle name="40% - Accent3 50 3 2" xfId="8567"/>
    <cellStyle name="40% - Accent3 50 4" xfId="6525"/>
    <cellStyle name="40% - Accent3 51" xfId="1203"/>
    <cellStyle name="40% - Accent3 51 2" xfId="4303"/>
    <cellStyle name="40% - Accent3 51 2 2" xfId="9636"/>
    <cellStyle name="40% - Accent3 51 3" xfId="3234"/>
    <cellStyle name="40% - Accent3 51 3 2" xfId="8568"/>
    <cellStyle name="40% - Accent3 51 4" xfId="6539"/>
    <cellStyle name="40% - Accent3 52" xfId="1217"/>
    <cellStyle name="40% - Accent3 52 2" xfId="4304"/>
    <cellStyle name="40% - Accent3 52 2 2" xfId="9637"/>
    <cellStyle name="40% - Accent3 52 3" xfId="3235"/>
    <cellStyle name="40% - Accent3 52 3 2" xfId="8569"/>
    <cellStyle name="40% - Accent3 52 4" xfId="6553"/>
    <cellStyle name="40% - Accent3 53" xfId="1231"/>
    <cellStyle name="40% - Accent3 53 2" xfId="4305"/>
    <cellStyle name="40% - Accent3 53 2 2" xfId="9638"/>
    <cellStyle name="40% - Accent3 53 3" xfId="3236"/>
    <cellStyle name="40% - Accent3 53 3 2" xfId="8570"/>
    <cellStyle name="40% - Accent3 53 4" xfId="6567"/>
    <cellStyle name="40% - Accent3 54" xfId="1245"/>
    <cellStyle name="40% - Accent3 54 2" xfId="4306"/>
    <cellStyle name="40% - Accent3 54 2 2" xfId="9639"/>
    <cellStyle name="40% - Accent3 54 3" xfId="3237"/>
    <cellStyle name="40% - Accent3 54 3 2" xfId="8571"/>
    <cellStyle name="40% - Accent3 54 4" xfId="6581"/>
    <cellStyle name="40% - Accent3 55" xfId="1259"/>
    <cellStyle name="40% - Accent3 55 2" xfId="4307"/>
    <cellStyle name="40% - Accent3 55 2 2" xfId="9640"/>
    <cellStyle name="40% - Accent3 55 3" xfId="3238"/>
    <cellStyle name="40% - Accent3 55 3 2" xfId="8572"/>
    <cellStyle name="40% - Accent3 55 4" xfId="6595"/>
    <cellStyle name="40% - Accent3 56" xfId="1273"/>
    <cellStyle name="40% - Accent3 56 2" xfId="4308"/>
    <cellStyle name="40% - Accent3 56 2 2" xfId="9641"/>
    <cellStyle name="40% - Accent3 56 3" xfId="3239"/>
    <cellStyle name="40% - Accent3 56 3 2" xfId="8573"/>
    <cellStyle name="40% - Accent3 56 4" xfId="6609"/>
    <cellStyle name="40% - Accent3 57" xfId="1287"/>
    <cellStyle name="40% - Accent3 57 2" xfId="4309"/>
    <cellStyle name="40% - Accent3 57 2 2" xfId="9642"/>
    <cellStyle name="40% - Accent3 57 3" xfId="3240"/>
    <cellStyle name="40% - Accent3 57 3 2" xfId="8574"/>
    <cellStyle name="40% - Accent3 57 4" xfId="6623"/>
    <cellStyle name="40% - Accent3 58" xfId="1301"/>
    <cellStyle name="40% - Accent3 58 2" xfId="4310"/>
    <cellStyle name="40% - Accent3 58 2 2" xfId="9643"/>
    <cellStyle name="40% - Accent3 58 3" xfId="3241"/>
    <cellStyle name="40% - Accent3 58 3 2" xfId="8575"/>
    <cellStyle name="40% - Accent3 58 4" xfId="6637"/>
    <cellStyle name="40% - Accent3 59" xfId="1315"/>
    <cellStyle name="40% - Accent3 59 2" xfId="4311"/>
    <cellStyle name="40% - Accent3 59 2 2" xfId="9644"/>
    <cellStyle name="40% - Accent3 59 3" xfId="3242"/>
    <cellStyle name="40% - Accent3 59 3 2" xfId="8576"/>
    <cellStyle name="40% - Accent3 59 4" xfId="6651"/>
    <cellStyle name="40% - Accent3 6" xfId="109"/>
    <cellStyle name="40% - Accent3 6 2" xfId="586"/>
    <cellStyle name="40% - Accent3 6 2 2" xfId="4312"/>
    <cellStyle name="40% - Accent3 6 2 2 2" xfId="9645"/>
    <cellStyle name="40% - Accent3 6 2 3" xfId="2573"/>
    <cellStyle name="40% - Accent3 6 2 3 2" xfId="7907"/>
    <cellStyle name="40% - Accent3 6 2 4" xfId="5923"/>
    <cellStyle name="40% - Accent3 6 3" xfId="4313"/>
    <cellStyle name="40% - Accent3 6 3 2" xfId="9646"/>
    <cellStyle name="40% - Accent3 6 4" xfId="2572"/>
    <cellStyle name="40% - Accent3 6 4 2" xfId="7906"/>
    <cellStyle name="40% - Accent3 6 5" xfId="5447"/>
    <cellStyle name="40% - Accent3 60" xfId="1329"/>
    <cellStyle name="40% - Accent3 60 2" xfId="4314"/>
    <cellStyle name="40% - Accent3 60 2 2" xfId="9647"/>
    <cellStyle name="40% - Accent3 60 3" xfId="3243"/>
    <cellStyle name="40% - Accent3 60 3 2" xfId="8577"/>
    <cellStyle name="40% - Accent3 60 4" xfId="6665"/>
    <cellStyle name="40% - Accent3 61" xfId="1343"/>
    <cellStyle name="40% - Accent3 61 2" xfId="4315"/>
    <cellStyle name="40% - Accent3 61 2 2" xfId="9648"/>
    <cellStyle name="40% - Accent3 61 3" xfId="3244"/>
    <cellStyle name="40% - Accent3 61 3 2" xfId="8578"/>
    <cellStyle name="40% - Accent3 61 4" xfId="6679"/>
    <cellStyle name="40% - Accent3 62" xfId="1357"/>
    <cellStyle name="40% - Accent3 62 2" xfId="3245"/>
    <cellStyle name="40% - Accent3 62 2 2" xfId="8579"/>
    <cellStyle name="40% - Accent3 62 3" xfId="6693"/>
    <cellStyle name="40% - Accent3 63" xfId="1371"/>
    <cellStyle name="40% - Accent3 63 2" xfId="3246"/>
    <cellStyle name="40% - Accent3 63 2 2" xfId="8580"/>
    <cellStyle name="40% - Accent3 63 3" xfId="6707"/>
    <cellStyle name="40% - Accent3 64" xfId="1385"/>
    <cellStyle name="40% - Accent3 64 2" xfId="3247"/>
    <cellStyle name="40% - Accent3 64 2 2" xfId="8581"/>
    <cellStyle name="40% - Accent3 64 3" xfId="6721"/>
    <cellStyle name="40% - Accent3 65" xfId="1399"/>
    <cellStyle name="40% - Accent3 65 2" xfId="3248"/>
    <cellStyle name="40% - Accent3 65 2 2" xfId="8582"/>
    <cellStyle name="40% - Accent3 65 3" xfId="6735"/>
    <cellStyle name="40% - Accent3 66" xfId="1413"/>
    <cellStyle name="40% - Accent3 66 2" xfId="3249"/>
    <cellStyle name="40% - Accent3 66 2 2" xfId="8583"/>
    <cellStyle name="40% - Accent3 66 3" xfId="6749"/>
    <cellStyle name="40% - Accent3 67" xfId="1427"/>
    <cellStyle name="40% - Accent3 67 2" xfId="3250"/>
    <cellStyle name="40% - Accent3 67 2 2" xfId="8584"/>
    <cellStyle name="40% - Accent3 67 3" xfId="6763"/>
    <cellStyle name="40% - Accent3 68" xfId="1441"/>
    <cellStyle name="40% - Accent3 68 2" xfId="3251"/>
    <cellStyle name="40% - Accent3 68 2 2" xfId="8585"/>
    <cellStyle name="40% - Accent3 68 3" xfId="6777"/>
    <cellStyle name="40% - Accent3 69" xfId="1455"/>
    <cellStyle name="40% - Accent3 69 2" xfId="3252"/>
    <cellStyle name="40% - Accent3 69 2 2" xfId="8586"/>
    <cellStyle name="40% - Accent3 69 3" xfId="6791"/>
    <cellStyle name="40% - Accent3 7" xfId="123"/>
    <cellStyle name="40% - Accent3 7 2" xfId="600"/>
    <cellStyle name="40% - Accent3 7 2 2" xfId="4316"/>
    <cellStyle name="40% - Accent3 7 2 2 2" xfId="9649"/>
    <cellStyle name="40% - Accent3 7 2 3" xfId="2575"/>
    <cellStyle name="40% - Accent3 7 2 3 2" xfId="7909"/>
    <cellStyle name="40% - Accent3 7 2 4" xfId="5937"/>
    <cellStyle name="40% - Accent3 7 3" xfId="4317"/>
    <cellStyle name="40% - Accent3 7 3 2" xfId="9650"/>
    <cellStyle name="40% - Accent3 7 4" xfId="2574"/>
    <cellStyle name="40% - Accent3 7 4 2" xfId="7908"/>
    <cellStyle name="40% - Accent3 7 5" xfId="5461"/>
    <cellStyle name="40% - Accent3 70" xfId="1469"/>
    <cellStyle name="40% - Accent3 70 2" xfId="3253"/>
    <cellStyle name="40% - Accent3 70 2 2" xfId="8587"/>
    <cellStyle name="40% - Accent3 70 3" xfId="6805"/>
    <cellStyle name="40% - Accent3 71" xfId="1483"/>
    <cellStyle name="40% - Accent3 71 2" xfId="3254"/>
    <cellStyle name="40% - Accent3 71 2 2" xfId="8588"/>
    <cellStyle name="40% - Accent3 71 3" xfId="6819"/>
    <cellStyle name="40% - Accent3 72" xfId="1497"/>
    <cellStyle name="40% - Accent3 72 2" xfId="3255"/>
    <cellStyle name="40% - Accent3 72 2 2" xfId="8589"/>
    <cellStyle name="40% - Accent3 72 3" xfId="6833"/>
    <cellStyle name="40% - Accent3 73" xfId="1511"/>
    <cellStyle name="40% - Accent3 73 2" xfId="3256"/>
    <cellStyle name="40% - Accent3 73 2 2" xfId="8590"/>
    <cellStyle name="40% - Accent3 73 3" xfId="6847"/>
    <cellStyle name="40% - Accent3 74" xfId="1525"/>
    <cellStyle name="40% - Accent3 74 2" xfId="3257"/>
    <cellStyle name="40% - Accent3 74 2 2" xfId="8591"/>
    <cellStyle name="40% - Accent3 74 3" xfId="6861"/>
    <cellStyle name="40% - Accent3 75" xfId="1539"/>
    <cellStyle name="40% - Accent3 75 2" xfId="3258"/>
    <cellStyle name="40% - Accent3 75 2 2" xfId="8592"/>
    <cellStyle name="40% - Accent3 75 3" xfId="6875"/>
    <cellStyle name="40% - Accent3 76" xfId="1553"/>
    <cellStyle name="40% - Accent3 76 2" xfId="3464"/>
    <cellStyle name="40% - Accent3 76 2 2" xfId="8798"/>
    <cellStyle name="40% - Accent3 76 3" xfId="6889"/>
    <cellStyle name="40% - Accent3 77" xfId="1567"/>
    <cellStyle name="40% - Accent3 77 2" xfId="3465"/>
    <cellStyle name="40% - Accent3 77 2 2" xfId="8799"/>
    <cellStyle name="40% - Accent3 77 3" xfId="6903"/>
    <cellStyle name="40% - Accent3 78" xfId="1581"/>
    <cellStyle name="40% - Accent3 78 2" xfId="3466"/>
    <cellStyle name="40% - Accent3 78 2 2" xfId="8800"/>
    <cellStyle name="40% - Accent3 78 3" xfId="6917"/>
    <cellStyle name="40% - Accent3 79" xfId="1595"/>
    <cellStyle name="40% - Accent3 79 2" xfId="3467"/>
    <cellStyle name="40% - Accent3 79 2 2" xfId="8801"/>
    <cellStyle name="40% - Accent3 79 3" xfId="6931"/>
    <cellStyle name="40% - Accent3 8" xfId="137"/>
    <cellStyle name="40% - Accent3 8 2" xfId="614"/>
    <cellStyle name="40% - Accent3 8 2 2" xfId="4318"/>
    <cellStyle name="40% - Accent3 8 2 2 2" xfId="9651"/>
    <cellStyle name="40% - Accent3 8 2 3" xfId="2577"/>
    <cellStyle name="40% - Accent3 8 2 3 2" xfId="7911"/>
    <cellStyle name="40% - Accent3 8 2 4" xfId="5951"/>
    <cellStyle name="40% - Accent3 8 3" xfId="4319"/>
    <cellStyle name="40% - Accent3 8 3 2" xfId="9652"/>
    <cellStyle name="40% - Accent3 8 4" xfId="2576"/>
    <cellStyle name="40% - Accent3 8 4 2" xfId="7910"/>
    <cellStyle name="40% - Accent3 8 5" xfId="5475"/>
    <cellStyle name="40% - Accent3 80" xfId="1609"/>
    <cellStyle name="40% - Accent3 80 2" xfId="4834"/>
    <cellStyle name="40% - Accent3 80 2 2" xfId="10167"/>
    <cellStyle name="40% - Accent3 80 3" xfId="6945"/>
    <cellStyle name="40% - Accent3 81" xfId="1623"/>
    <cellStyle name="40% - Accent3 81 2" xfId="4835"/>
    <cellStyle name="40% - Accent3 81 2 2" xfId="10168"/>
    <cellStyle name="40% - Accent3 81 3" xfId="6959"/>
    <cellStyle name="40% - Accent3 82" xfId="1637"/>
    <cellStyle name="40% - Accent3 82 2" xfId="4836"/>
    <cellStyle name="40% - Accent3 82 2 2" xfId="10169"/>
    <cellStyle name="40% - Accent3 82 3" xfId="6973"/>
    <cellStyle name="40% - Accent3 83" xfId="1651"/>
    <cellStyle name="40% - Accent3 83 2" xfId="4837"/>
    <cellStyle name="40% - Accent3 83 2 2" xfId="10170"/>
    <cellStyle name="40% - Accent3 83 3" xfId="6987"/>
    <cellStyle name="40% - Accent3 84" xfId="1665"/>
    <cellStyle name="40% - Accent3 84 2" xfId="4838"/>
    <cellStyle name="40% - Accent3 84 2 2" xfId="10171"/>
    <cellStyle name="40% - Accent3 84 3" xfId="7001"/>
    <cellStyle name="40% - Accent3 85" xfId="1679"/>
    <cellStyle name="40% - Accent3 85 2" xfId="4886"/>
    <cellStyle name="40% - Accent3 85 2 2" xfId="10219"/>
    <cellStyle name="40% - Accent3 85 3" xfId="7015"/>
    <cellStyle name="40% - Accent3 86" xfId="1693"/>
    <cellStyle name="40% - Accent3 86 2" xfId="4887"/>
    <cellStyle name="40% - Accent3 86 2 2" xfId="10220"/>
    <cellStyle name="40% - Accent3 86 3" xfId="7029"/>
    <cellStyle name="40% - Accent3 87" xfId="1707"/>
    <cellStyle name="40% - Accent3 87 2" xfId="4888"/>
    <cellStyle name="40% - Accent3 87 2 2" xfId="10221"/>
    <cellStyle name="40% - Accent3 87 3" xfId="7043"/>
    <cellStyle name="40% - Accent3 88" xfId="1721"/>
    <cellStyle name="40% - Accent3 88 2" xfId="4954"/>
    <cellStyle name="40% - Accent3 88 2 2" xfId="10287"/>
    <cellStyle name="40% - Accent3 88 3" xfId="7057"/>
    <cellStyle name="40% - Accent3 89" xfId="1735"/>
    <cellStyle name="40% - Accent3 89 2" xfId="4955"/>
    <cellStyle name="40% - Accent3 89 2 2" xfId="10288"/>
    <cellStyle name="40% - Accent3 89 3" xfId="7071"/>
    <cellStyle name="40% - Accent3 9" xfId="151"/>
    <cellStyle name="40% - Accent3 9 2" xfId="628"/>
    <cellStyle name="40% - Accent3 9 2 2" xfId="4320"/>
    <cellStyle name="40% - Accent3 9 2 2 2" xfId="9653"/>
    <cellStyle name="40% - Accent3 9 2 3" xfId="2579"/>
    <cellStyle name="40% - Accent3 9 2 3 2" xfId="7913"/>
    <cellStyle name="40% - Accent3 9 2 4" xfId="5965"/>
    <cellStyle name="40% - Accent3 9 3" xfId="4321"/>
    <cellStyle name="40% - Accent3 9 3 2" xfId="9654"/>
    <cellStyle name="40% - Accent3 9 4" xfId="2578"/>
    <cellStyle name="40% - Accent3 9 4 2" xfId="7912"/>
    <cellStyle name="40% - Accent3 9 5" xfId="5489"/>
    <cellStyle name="40% - Accent3 90" xfId="1749"/>
    <cellStyle name="40% - Accent3 90 2" xfId="4956"/>
    <cellStyle name="40% - Accent3 90 2 2" xfId="10289"/>
    <cellStyle name="40% - Accent3 90 3" xfId="7085"/>
    <cellStyle name="40% - Accent3 91" xfId="1763"/>
    <cellStyle name="40% - Accent3 91 2" xfId="4957"/>
    <cellStyle name="40% - Accent3 91 2 2" xfId="10290"/>
    <cellStyle name="40% - Accent3 91 3" xfId="7099"/>
    <cellStyle name="40% - Accent3 92" xfId="1777"/>
    <cellStyle name="40% - Accent3 92 2" xfId="4958"/>
    <cellStyle name="40% - Accent3 92 2 2" xfId="10291"/>
    <cellStyle name="40% - Accent3 92 3" xfId="7113"/>
    <cellStyle name="40% - Accent3 93" xfId="1791"/>
    <cellStyle name="40% - Accent3 93 2" xfId="4959"/>
    <cellStyle name="40% - Accent3 93 2 2" xfId="10292"/>
    <cellStyle name="40% - Accent3 93 3" xfId="7127"/>
    <cellStyle name="40% - Accent3 94" xfId="1805"/>
    <cellStyle name="40% - Accent3 94 2" xfId="5005"/>
    <cellStyle name="40% - Accent3 94 2 2" xfId="10336"/>
    <cellStyle name="40% - Accent3 94 3" xfId="7141"/>
    <cellStyle name="40% - Accent3 95" xfId="1819"/>
    <cellStyle name="40% - Accent3 95 2" xfId="5006"/>
    <cellStyle name="40% - Accent3 95 2 2" xfId="10337"/>
    <cellStyle name="40% - Accent3 95 3" xfId="7155"/>
    <cellStyle name="40% - Accent3 96" xfId="1833"/>
    <cellStyle name="40% - Accent3 96 2" xfId="5050"/>
    <cellStyle name="40% - Accent3 96 2 2" xfId="10381"/>
    <cellStyle name="40% - Accent3 96 3" xfId="7169"/>
    <cellStyle name="40% - Accent3 97" xfId="1847"/>
    <cellStyle name="40% - Accent3 97 2" xfId="5051"/>
    <cellStyle name="40% - Accent3 97 2 2" xfId="10382"/>
    <cellStyle name="40% - Accent3 97 3" xfId="7183"/>
    <cellStyle name="40% - Accent3 98" xfId="1861"/>
    <cellStyle name="40% - Accent3 98 2" xfId="5052"/>
    <cellStyle name="40% - Accent3 98 2 2" xfId="10383"/>
    <cellStyle name="40% - Accent3 98 3" xfId="7197"/>
    <cellStyle name="40% - Accent3 99" xfId="1875"/>
    <cellStyle name="40% - Accent3 99 2" xfId="5053"/>
    <cellStyle name="40% - Accent3 99 2 2" xfId="10384"/>
    <cellStyle name="40% - Accent3 99 3" xfId="7211"/>
    <cellStyle name="40% - Accent4" xfId="10" builtinId="43" customBuiltin="1"/>
    <cellStyle name="40% - Accent4 10" xfId="167"/>
    <cellStyle name="40% - Accent4 10 2" xfId="644"/>
    <cellStyle name="40% - Accent4 10 2 2" xfId="4322"/>
    <cellStyle name="40% - Accent4 10 2 2 2" xfId="9655"/>
    <cellStyle name="40% - Accent4 10 2 3" xfId="2581"/>
    <cellStyle name="40% - Accent4 10 2 3 2" xfId="7915"/>
    <cellStyle name="40% - Accent4 10 2 4" xfId="5981"/>
    <cellStyle name="40% - Accent4 10 3" xfId="4323"/>
    <cellStyle name="40% - Accent4 10 3 2" xfId="9656"/>
    <cellStyle name="40% - Accent4 10 4" xfId="2580"/>
    <cellStyle name="40% - Accent4 10 4 2" xfId="7914"/>
    <cellStyle name="40% - Accent4 10 5" xfId="5505"/>
    <cellStyle name="40% - Accent4 100" xfId="1891"/>
    <cellStyle name="40% - Accent4 100 2" xfId="7227"/>
    <cellStyle name="40% - Accent4 101" xfId="1905"/>
    <cellStyle name="40% - Accent4 101 2" xfId="7241"/>
    <cellStyle name="40% - Accent4 102" xfId="1919"/>
    <cellStyle name="40% - Accent4 102 2" xfId="7255"/>
    <cellStyle name="40% - Accent4 103" xfId="5080"/>
    <cellStyle name="40% - Accent4 103 2" xfId="10411"/>
    <cellStyle name="40% - Accent4 104" xfId="5094"/>
    <cellStyle name="40% - Accent4 104 2" xfId="10425"/>
    <cellStyle name="40% - Accent4 105" xfId="5108"/>
    <cellStyle name="40% - Accent4 105 2" xfId="10439"/>
    <cellStyle name="40% - Accent4 106" xfId="5122"/>
    <cellStyle name="40% - Accent4 106 2" xfId="10453"/>
    <cellStyle name="40% - Accent4 107" xfId="5136"/>
    <cellStyle name="40% - Accent4 107 2" xfId="10467"/>
    <cellStyle name="40% - Accent4 108" xfId="5150"/>
    <cellStyle name="40% - Accent4 108 2" xfId="10481"/>
    <cellStyle name="40% - Accent4 109" xfId="5164"/>
    <cellStyle name="40% - Accent4 109 2" xfId="10495"/>
    <cellStyle name="40% - Accent4 11" xfId="181"/>
    <cellStyle name="40% - Accent4 11 2" xfId="658"/>
    <cellStyle name="40% - Accent4 11 2 2" xfId="4324"/>
    <cellStyle name="40% - Accent4 11 2 2 2" xfId="9657"/>
    <cellStyle name="40% - Accent4 11 2 3" xfId="2583"/>
    <cellStyle name="40% - Accent4 11 2 3 2" xfId="7917"/>
    <cellStyle name="40% - Accent4 11 2 4" xfId="5995"/>
    <cellStyle name="40% - Accent4 11 3" xfId="4325"/>
    <cellStyle name="40% - Accent4 11 3 2" xfId="9658"/>
    <cellStyle name="40% - Accent4 11 4" xfId="2582"/>
    <cellStyle name="40% - Accent4 11 4 2" xfId="7916"/>
    <cellStyle name="40% - Accent4 11 5" xfId="5519"/>
    <cellStyle name="40% - Accent4 110" xfId="5178"/>
    <cellStyle name="40% - Accent4 110 2" xfId="10509"/>
    <cellStyle name="40% - Accent4 111" xfId="5192"/>
    <cellStyle name="40% - Accent4 111 2" xfId="10523"/>
    <cellStyle name="40% - Accent4 112" xfId="5206"/>
    <cellStyle name="40% - Accent4 112 2" xfId="10537"/>
    <cellStyle name="40% - Accent4 113" xfId="5220"/>
    <cellStyle name="40% - Accent4 113 2" xfId="10551"/>
    <cellStyle name="40% - Accent4 114" xfId="5234"/>
    <cellStyle name="40% - Accent4 114 2" xfId="10565"/>
    <cellStyle name="40% - Accent4 115" xfId="5248"/>
    <cellStyle name="40% - Accent4 115 2" xfId="10579"/>
    <cellStyle name="40% - Accent4 116" xfId="5262"/>
    <cellStyle name="40% - Accent4 116 2" xfId="10593"/>
    <cellStyle name="40% - Accent4 117" xfId="5276"/>
    <cellStyle name="40% - Accent4 117 2" xfId="10607"/>
    <cellStyle name="40% - Accent4 118" xfId="5290"/>
    <cellStyle name="40% - Accent4 118 2" xfId="10621"/>
    <cellStyle name="40% - Accent4 119" xfId="5304"/>
    <cellStyle name="40% - Accent4 119 2" xfId="10635"/>
    <cellStyle name="40% - Accent4 12" xfId="195"/>
    <cellStyle name="40% - Accent4 12 2" xfId="672"/>
    <cellStyle name="40% - Accent4 12 2 2" xfId="4326"/>
    <cellStyle name="40% - Accent4 12 2 2 2" xfId="9659"/>
    <cellStyle name="40% - Accent4 12 2 3" xfId="2585"/>
    <cellStyle name="40% - Accent4 12 2 3 2" xfId="7919"/>
    <cellStyle name="40% - Accent4 12 2 4" xfId="6009"/>
    <cellStyle name="40% - Accent4 12 3" xfId="4327"/>
    <cellStyle name="40% - Accent4 12 3 2" xfId="9660"/>
    <cellStyle name="40% - Accent4 12 4" xfId="2584"/>
    <cellStyle name="40% - Accent4 12 4 2" xfId="7918"/>
    <cellStyle name="40% - Accent4 12 5" xfId="5533"/>
    <cellStyle name="40% - Accent4 120" xfId="5318"/>
    <cellStyle name="40% - Accent4 120 2" xfId="10649"/>
    <cellStyle name="40% - Accent4 121" xfId="5332"/>
    <cellStyle name="40% - Accent4 121 2" xfId="10663"/>
    <cellStyle name="40% - Accent4 122" xfId="5346"/>
    <cellStyle name="40% - Accent4 122 2" xfId="10677"/>
    <cellStyle name="40% - Accent4 123" xfId="5365"/>
    <cellStyle name="40% - Accent4 123 2" xfId="10694"/>
    <cellStyle name="40% - Accent4 124" xfId="10708"/>
    <cellStyle name="40% - Accent4 125" xfId="5379"/>
    <cellStyle name="40% - Accent4 126" xfId="10722"/>
    <cellStyle name="40% - Accent4 127" xfId="10736"/>
    <cellStyle name="40% - Accent4 128" xfId="10750"/>
    <cellStyle name="40% - Accent4 129" xfId="10764"/>
    <cellStyle name="40% - Accent4 13" xfId="209"/>
    <cellStyle name="40% - Accent4 13 2" xfId="686"/>
    <cellStyle name="40% - Accent4 13 2 2" xfId="4328"/>
    <cellStyle name="40% - Accent4 13 2 2 2" xfId="9661"/>
    <cellStyle name="40% - Accent4 13 2 3" xfId="2587"/>
    <cellStyle name="40% - Accent4 13 2 3 2" xfId="7921"/>
    <cellStyle name="40% - Accent4 13 2 4" xfId="6023"/>
    <cellStyle name="40% - Accent4 13 3" xfId="4329"/>
    <cellStyle name="40% - Accent4 13 3 2" xfId="9662"/>
    <cellStyle name="40% - Accent4 13 4" xfId="2586"/>
    <cellStyle name="40% - Accent4 13 4 2" xfId="7920"/>
    <cellStyle name="40% - Accent4 13 5" xfId="5547"/>
    <cellStyle name="40% - Accent4 130" xfId="10778"/>
    <cellStyle name="40% - Accent4 131" xfId="10793"/>
    <cellStyle name="40% - Accent4 132" xfId="10807"/>
    <cellStyle name="40% - Accent4 133" xfId="10821"/>
    <cellStyle name="40% - Accent4 134" xfId="10835"/>
    <cellStyle name="40% - Accent4 135" xfId="10849"/>
    <cellStyle name="40% - Accent4 136" xfId="10863"/>
    <cellStyle name="40% - Accent4 137" xfId="10877"/>
    <cellStyle name="40% - Accent4 138" xfId="10891"/>
    <cellStyle name="40% - Accent4 139" xfId="10905"/>
    <cellStyle name="40% - Accent4 14" xfId="223"/>
    <cellStyle name="40% - Accent4 14 2" xfId="700"/>
    <cellStyle name="40% - Accent4 14 2 2" xfId="4330"/>
    <cellStyle name="40% - Accent4 14 2 2 2" xfId="9663"/>
    <cellStyle name="40% - Accent4 14 2 3" xfId="2589"/>
    <cellStyle name="40% - Accent4 14 2 3 2" xfId="7923"/>
    <cellStyle name="40% - Accent4 14 2 4" xfId="6037"/>
    <cellStyle name="40% - Accent4 14 3" xfId="4331"/>
    <cellStyle name="40% - Accent4 14 3 2" xfId="9664"/>
    <cellStyle name="40% - Accent4 14 4" xfId="2588"/>
    <cellStyle name="40% - Accent4 14 4 2" xfId="7922"/>
    <cellStyle name="40% - Accent4 14 5" xfId="5561"/>
    <cellStyle name="40% - Accent4 140" xfId="10919"/>
    <cellStyle name="40% - Accent4 141" xfId="10933"/>
    <cellStyle name="40% - Accent4 142" xfId="10947"/>
    <cellStyle name="40% - Accent4 143" xfId="10961"/>
    <cellStyle name="40% - Accent4 144" xfId="10975"/>
    <cellStyle name="40% - Accent4 145" xfId="10989"/>
    <cellStyle name="40% - Accent4 146" xfId="11003"/>
    <cellStyle name="40% - Accent4 147" xfId="11017"/>
    <cellStyle name="40% - Accent4 148" xfId="11031"/>
    <cellStyle name="40% - Accent4 149" xfId="11045"/>
    <cellStyle name="40% - Accent4 15" xfId="237"/>
    <cellStyle name="40% - Accent4 15 2" xfId="714"/>
    <cellStyle name="40% - Accent4 15 2 2" xfId="4332"/>
    <cellStyle name="40% - Accent4 15 2 2 2" xfId="9665"/>
    <cellStyle name="40% - Accent4 15 2 3" xfId="2591"/>
    <cellStyle name="40% - Accent4 15 2 3 2" xfId="7925"/>
    <cellStyle name="40% - Accent4 15 2 4" xfId="6051"/>
    <cellStyle name="40% - Accent4 15 3" xfId="4333"/>
    <cellStyle name="40% - Accent4 15 3 2" xfId="9666"/>
    <cellStyle name="40% - Accent4 15 4" xfId="2590"/>
    <cellStyle name="40% - Accent4 15 4 2" xfId="7924"/>
    <cellStyle name="40% - Accent4 15 5" xfId="5575"/>
    <cellStyle name="40% - Accent4 150" xfId="11059"/>
    <cellStyle name="40% - Accent4 16" xfId="251"/>
    <cellStyle name="40% - Accent4 16 2" xfId="728"/>
    <cellStyle name="40% - Accent4 16 2 2" xfId="4334"/>
    <cellStyle name="40% - Accent4 16 2 2 2" xfId="9667"/>
    <cellStyle name="40% - Accent4 16 2 3" xfId="2593"/>
    <cellStyle name="40% - Accent4 16 2 3 2" xfId="7927"/>
    <cellStyle name="40% - Accent4 16 2 4" xfId="6065"/>
    <cellStyle name="40% - Accent4 16 3" xfId="4335"/>
    <cellStyle name="40% - Accent4 16 3 2" xfId="9668"/>
    <cellStyle name="40% - Accent4 16 4" xfId="2592"/>
    <cellStyle name="40% - Accent4 16 4 2" xfId="7926"/>
    <cellStyle name="40% - Accent4 16 5" xfId="5589"/>
    <cellStyle name="40% - Accent4 17" xfId="265"/>
    <cellStyle name="40% - Accent4 17 2" xfId="742"/>
    <cellStyle name="40% - Accent4 17 2 2" xfId="4336"/>
    <cellStyle name="40% - Accent4 17 2 2 2" xfId="9669"/>
    <cellStyle name="40% - Accent4 17 2 3" xfId="2595"/>
    <cellStyle name="40% - Accent4 17 2 3 2" xfId="7929"/>
    <cellStyle name="40% - Accent4 17 2 4" xfId="6079"/>
    <cellStyle name="40% - Accent4 17 3" xfId="4337"/>
    <cellStyle name="40% - Accent4 17 3 2" xfId="9670"/>
    <cellStyle name="40% - Accent4 17 4" xfId="2594"/>
    <cellStyle name="40% - Accent4 17 4 2" xfId="7928"/>
    <cellStyle name="40% - Accent4 17 5" xfId="5603"/>
    <cellStyle name="40% - Accent4 18" xfId="279"/>
    <cellStyle name="40% - Accent4 18 2" xfId="756"/>
    <cellStyle name="40% - Accent4 18 2 2" xfId="4338"/>
    <cellStyle name="40% - Accent4 18 2 2 2" xfId="9671"/>
    <cellStyle name="40% - Accent4 18 2 3" xfId="2597"/>
    <cellStyle name="40% - Accent4 18 2 3 2" xfId="7931"/>
    <cellStyle name="40% - Accent4 18 2 4" xfId="6093"/>
    <cellStyle name="40% - Accent4 18 3" xfId="4339"/>
    <cellStyle name="40% - Accent4 18 3 2" xfId="9672"/>
    <cellStyle name="40% - Accent4 18 4" xfId="2596"/>
    <cellStyle name="40% - Accent4 18 4 2" xfId="7930"/>
    <cellStyle name="40% - Accent4 18 5" xfId="5617"/>
    <cellStyle name="40% - Accent4 19" xfId="293"/>
    <cellStyle name="40% - Accent4 19 2" xfId="770"/>
    <cellStyle name="40% - Accent4 19 2 2" xfId="4340"/>
    <cellStyle name="40% - Accent4 19 2 2 2" xfId="9673"/>
    <cellStyle name="40% - Accent4 19 2 3" xfId="2599"/>
    <cellStyle name="40% - Accent4 19 2 3 2" xfId="7933"/>
    <cellStyle name="40% - Accent4 19 2 4" xfId="6107"/>
    <cellStyle name="40% - Accent4 19 3" xfId="4341"/>
    <cellStyle name="40% - Accent4 19 3 2" xfId="9674"/>
    <cellStyle name="40% - Accent4 19 4" xfId="2598"/>
    <cellStyle name="40% - Accent4 19 4 2" xfId="7932"/>
    <cellStyle name="40% - Accent4 19 5" xfId="5631"/>
    <cellStyle name="40% - Accent4 2" xfId="55"/>
    <cellStyle name="40% - Accent4 2 2" xfId="532"/>
    <cellStyle name="40% - Accent4 2 2 2" xfId="4342"/>
    <cellStyle name="40% - Accent4 2 2 2 2" xfId="9675"/>
    <cellStyle name="40% - Accent4 2 2 3" xfId="2601"/>
    <cellStyle name="40% - Accent4 2 2 3 2" xfId="7935"/>
    <cellStyle name="40% - Accent4 2 2 4" xfId="5869"/>
    <cellStyle name="40% - Accent4 2 3" xfId="4343"/>
    <cellStyle name="40% - Accent4 2 3 2" xfId="9676"/>
    <cellStyle name="40% - Accent4 2 4" xfId="2600"/>
    <cellStyle name="40% - Accent4 2 4 2" xfId="7934"/>
    <cellStyle name="40% - Accent4 2 5" xfId="5393"/>
    <cellStyle name="40% - Accent4 20" xfId="307"/>
    <cellStyle name="40% - Accent4 20 2" xfId="784"/>
    <cellStyle name="40% - Accent4 20 2 2" xfId="4344"/>
    <cellStyle name="40% - Accent4 20 2 2 2" xfId="9677"/>
    <cellStyle name="40% - Accent4 20 2 3" xfId="2603"/>
    <cellStyle name="40% - Accent4 20 2 3 2" xfId="7937"/>
    <cellStyle name="40% - Accent4 20 2 4" xfId="6121"/>
    <cellStyle name="40% - Accent4 20 3" xfId="4345"/>
    <cellStyle name="40% - Accent4 20 3 2" xfId="9678"/>
    <cellStyle name="40% - Accent4 20 4" xfId="2602"/>
    <cellStyle name="40% - Accent4 20 4 2" xfId="7936"/>
    <cellStyle name="40% - Accent4 20 5" xfId="5645"/>
    <cellStyle name="40% - Accent4 21" xfId="322"/>
    <cellStyle name="40% - Accent4 21 2" xfId="799"/>
    <cellStyle name="40% - Accent4 21 2 2" xfId="4346"/>
    <cellStyle name="40% - Accent4 21 2 2 2" xfId="9679"/>
    <cellStyle name="40% - Accent4 21 2 3" xfId="2605"/>
    <cellStyle name="40% - Accent4 21 2 3 2" xfId="7939"/>
    <cellStyle name="40% - Accent4 21 2 4" xfId="6135"/>
    <cellStyle name="40% - Accent4 21 3" xfId="4347"/>
    <cellStyle name="40% - Accent4 21 3 2" xfId="9680"/>
    <cellStyle name="40% - Accent4 21 4" xfId="2604"/>
    <cellStyle name="40% - Accent4 21 4 2" xfId="7938"/>
    <cellStyle name="40% - Accent4 21 5" xfId="5659"/>
    <cellStyle name="40% - Accent4 22" xfId="336"/>
    <cellStyle name="40% - Accent4 22 2" xfId="813"/>
    <cellStyle name="40% - Accent4 22 2 2" xfId="4348"/>
    <cellStyle name="40% - Accent4 22 2 2 2" xfId="9681"/>
    <cellStyle name="40% - Accent4 22 2 3" xfId="2607"/>
    <cellStyle name="40% - Accent4 22 2 3 2" xfId="7941"/>
    <cellStyle name="40% - Accent4 22 2 4" xfId="6149"/>
    <cellStyle name="40% - Accent4 22 3" xfId="4349"/>
    <cellStyle name="40% - Accent4 22 3 2" xfId="9682"/>
    <cellStyle name="40% - Accent4 22 4" xfId="2606"/>
    <cellStyle name="40% - Accent4 22 4 2" xfId="7940"/>
    <cellStyle name="40% - Accent4 22 5" xfId="5673"/>
    <cellStyle name="40% - Accent4 23" xfId="350"/>
    <cellStyle name="40% - Accent4 23 2" xfId="827"/>
    <cellStyle name="40% - Accent4 23 2 2" xfId="4350"/>
    <cellStyle name="40% - Accent4 23 2 2 2" xfId="9683"/>
    <cellStyle name="40% - Accent4 23 2 3" xfId="2609"/>
    <cellStyle name="40% - Accent4 23 2 3 2" xfId="7943"/>
    <cellStyle name="40% - Accent4 23 2 4" xfId="6163"/>
    <cellStyle name="40% - Accent4 23 3" xfId="4351"/>
    <cellStyle name="40% - Accent4 23 3 2" xfId="9684"/>
    <cellStyle name="40% - Accent4 23 4" xfId="2608"/>
    <cellStyle name="40% - Accent4 23 4 2" xfId="7942"/>
    <cellStyle name="40% - Accent4 23 5" xfId="5687"/>
    <cellStyle name="40% - Accent4 24" xfId="364"/>
    <cellStyle name="40% - Accent4 24 2" xfId="841"/>
    <cellStyle name="40% - Accent4 24 2 2" xfId="4352"/>
    <cellStyle name="40% - Accent4 24 2 2 2" xfId="9685"/>
    <cellStyle name="40% - Accent4 24 2 3" xfId="2611"/>
    <cellStyle name="40% - Accent4 24 2 3 2" xfId="7945"/>
    <cellStyle name="40% - Accent4 24 2 4" xfId="6177"/>
    <cellStyle name="40% - Accent4 24 3" xfId="4353"/>
    <cellStyle name="40% - Accent4 24 3 2" xfId="9686"/>
    <cellStyle name="40% - Accent4 24 4" xfId="2610"/>
    <cellStyle name="40% - Accent4 24 4 2" xfId="7944"/>
    <cellStyle name="40% - Accent4 24 5" xfId="5701"/>
    <cellStyle name="40% - Accent4 25" xfId="378"/>
    <cellStyle name="40% - Accent4 25 2" xfId="855"/>
    <cellStyle name="40% - Accent4 25 2 2" xfId="4354"/>
    <cellStyle name="40% - Accent4 25 2 2 2" xfId="9687"/>
    <cellStyle name="40% - Accent4 25 2 3" xfId="2613"/>
    <cellStyle name="40% - Accent4 25 2 3 2" xfId="7947"/>
    <cellStyle name="40% - Accent4 25 2 4" xfId="6191"/>
    <cellStyle name="40% - Accent4 25 3" xfId="4355"/>
    <cellStyle name="40% - Accent4 25 3 2" xfId="9688"/>
    <cellStyle name="40% - Accent4 25 4" xfId="2612"/>
    <cellStyle name="40% - Accent4 25 4 2" xfId="7946"/>
    <cellStyle name="40% - Accent4 25 5" xfId="5715"/>
    <cellStyle name="40% - Accent4 26" xfId="392"/>
    <cellStyle name="40% - Accent4 26 2" xfId="869"/>
    <cellStyle name="40% - Accent4 26 2 2" xfId="4356"/>
    <cellStyle name="40% - Accent4 26 2 2 2" xfId="9689"/>
    <cellStyle name="40% - Accent4 26 2 3" xfId="2615"/>
    <cellStyle name="40% - Accent4 26 2 3 2" xfId="7949"/>
    <cellStyle name="40% - Accent4 26 2 4" xfId="6205"/>
    <cellStyle name="40% - Accent4 26 3" xfId="4357"/>
    <cellStyle name="40% - Accent4 26 3 2" xfId="9690"/>
    <cellStyle name="40% - Accent4 26 4" xfId="2614"/>
    <cellStyle name="40% - Accent4 26 4 2" xfId="7948"/>
    <cellStyle name="40% - Accent4 26 5" xfId="5729"/>
    <cellStyle name="40% - Accent4 27" xfId="406"/>
    <cellStyle name="40% - Accent4 27 2" xfId="883"/>
    <cellStyle name="40% - Accent4 27 2 2" xfId="4358"/>
    <cellStyle name="40% - Accent4 27 2 2 2" xfId="9691"/>
    <cellStyle name="40% - Accent4 27 2 3" xfId="2617"/>
    <cellStyle name="40% - Accent4 27 2 3 2" xfId="7951"/>
    <cellStyle name="40% - Accent4 27 2 4" xfId="6219"/>
    <cellStyle name="40% - Accent4 27 3" xfId="4359"/>
    <cellStyle name="40% - Accent4 27 3 2" xfId="9692"/>
    <cellStyle name="40% - Accent4 27 4" xfId="2616"/>
    <cellStyle name="40% - Accent4 27 4 2" xfId="7950"/>
    <cellStyle name="40% - Accent4 27 5" xfId="5743"/>
    <cellStyle name="40% - Accent4 28" xfId="420"/>
    <cellStyle name="40% - Accent4 28 2" xfId="897"/>
    <cellStyle name="40% - Accent4 28 2 2" xfId="4360"/>
    <cellStyle name="40% - Accent4 28 2 2 2" xfId="9693"/>
    <cellStyle name="40% - Accent4 28 2 3" xfId="2619"/>
    <cellStyle name="40% - Accent4 28 2 3 2" xfId="7953"/>
    <cellStyle name="40% - Accent4 28 2 4" xfId="6233"/>
    <cellStyle name="40% - Accent4 28 3" xfId="4361"/>
    <cellStyle name="40% - Accent4 28 3 2" xfId="9694"/>
    <cellStyle name="40% - Accent4 28 4" xfId="2618"/>
    <cellStyle name="40% - Accent4 28 4 2" xfId="7952"/>
    <cellStyle name="40% - Accent4 28 5" xfId="5757"/>
    <cellStyle name="40% - Accent4 29" xfId="434"/>
    <cellStyle name="40% - Accent4 29 2" xfId="911"/>
    <cellStyle name="40% - Accent4 29 2 2" xfId="4362"/>
    <cellStyle name="40% - Accent4 29 2 2 2" xfId="9695"/>
    <cellStyle name="40% - Accent4 29 2 3" xfId="2621"/>
    <cellStyle name="40% - Accent4 29 2 3 2" xfId="7955"/>
    <cellStyle name="40% - Accent4 29 2 4" xfId="6247"/>
    <cellStyle name="40% - Accent4 29 3" xfId="4363"/>
    <cellStyle name="40% - Accent4 29 3 2" xfId="9696"/>
    <cellStyle name="40% - Accent4 29 4" xfId="2620"/>
    <cellStyle name="40% - Accent4 29 4 2" xfId="7954"/>
    <cellStyle name="40% - Accent4 29 5" xfId="5771"/>
    <cellStyle name="40% - Accent4 3" xfId="69"/>
    <cellStyle name="40% - Accent4 3 2" xfId="546"/>
    <cellStyle name="40% - Accent4 3 2 2" xfId="4364"/>
    <cellStyle name="40% - Accent4 3 2 2 2" xfId="9697"/>
    <cellStyle name="40% - Accent4 3 2 3" xfId="2623"/>
    <cellStyle name="40% - Accent4 3 2 3 2" xfId="7957"/>
    <cellStyle name="40% - Accent4 3 2 4" xfId="5883"/>
    <cellStyle name="40% - Accent4 3 3" xfId="4365"/>
    <cellStyle name="40% - Accent4 3 3 2" xfId="9698"/>
    <cellStyle name="40% - Accent4 3 4" xfId="2622"/>
    <cellStyle name="40% - Accent4 3 4 2" xfId="7956"/>
    <cellStyle name="40% - Accent4 3 5" xfId="5407"/>
    <cellStyle name="40% - Accent4 30" xfId="448"/>
    <cellStyle name="40% - Accent4 30 2" xfId="925"/>
    <cellStyle name="40% - Accent4 30 2 2" xfId="4366"/>
    <cellStyle name="40% - Accent4 30 2 2 2" xfId="9699"/>
    <cellStyle name="40% - Accent4 30 2 3" xfId="2625"/>
    <cellStyle name="40% - Accent4 30 2 3 2" xfId="7959"/>
    <cellStyle name="40% - Accent4 30 2 4" xfId="6261"/>
    <cellStyle name="40% - Accent4 30 3" xfId="4367"/>
    <cellStyle name="40% - Accent4 30 3 2" xfId="9700"/>
    <cellStyle name="40% - Accent4 30 4" xfId="2624"/>
    <cellStyle name="40% - Accent4 30 4 2" xfId="7958"/>
    <cellStyle name="40% - Accent4 30 5" xfId="5785"/>
    <cellStyle name="40% - Accent4 31" xfId="462"/>
    <cellStyle name="40% - Accent4 31 2" xfId="939"/>
    <cellStyle name="40% - Accent4 31 2 2" xfId="4368"/>
    <cellStyle name="40% - Accent4 31 2 2 2" xfId="9701"/>
    <cellStyle name="40% - Accent4 31 2 3" xfId="2627"/>
    <cellStyle name="40% - Accent4 31 2 3 2" xfId="7961"/>
    <cellStyle name="40% - Accent4 31 2 4" xfId="6275"/>
    <cellStyle name="40% - Accent4 31 3" xfId="4369"/>
    <cellStyle name="40% - Accent4 31 3 2" xfId="9702"/>
    <cellStyle name="40% - Accent4 31 4" xfId="2626"/>
    <cellStyle name="40% - Accent4 31 4 2" xfId="7960"/>
    <cellStyle name="40% - Accent4 31 5" xfId="5799"/>
    <cellStyle name="40% - Accent4 32" xfId="476"/>
    <cellStyle name="40% - Accent4 32 2" xfId="953"/>
    <cellStyle name="40% - Accent4 32 2 2" xfId="4370"/>
    <cellStyle name="40% - Accent4 32 2 2 2" xfId="9703"/>
    <cellStyle name="40% - Accent4 32 2 3" xfId="2629"/>
    <cellStyle name="40% - Accent4 32 2 3 2" xfId="7963"/>
    <cellStyle name="40% - Accent4 32 2 4" xfId="6289"/>
    <cellStyle name="40% - Accent4 32 3" xfId="4371"/>
    <cellStyle name="40% - Accent4 32 3 2" xfId="9704"/>
    <cellStyle name="40% - Accent4 32 4" xfId="2628"/>
    <cellStyle name="40% - Accent4 32 4 2" xfId="7962"/>
    <cellStyle name="40% - Accent4 32 5" xfId="5813"/>
    <cellStyle name="40% - Accent4 33" xfId="490"/>
    <cellStyle name="40% - Accent4 33 2" xfId="967"/>
    <cellStyle name="40% - Accent4 33 2 2" xfId="4372"/>
    <cellStyle name="40% - Accent4 33 2 2 2" xfId="9705"/>
    <cellStyle name="40% - Accent4 33 2 3" xfId="2631"/>
    <cellStyle name="40% - Accent4 33 2 3 2" xfId="7965"/>
    <cellStyle name="40% - Accent4 33 2 4" xfId="6303"/>
    <cellStyle name="40% - Accent4 33 3" xfId="4373"/>
    <cellStyle name="40% - Accent4 33 3 2" xfId="9706"/>
    <cellStyle name="40% - Accent4 33 4" xfId="2630"/>
    <cellStyle name="40% - Accent4 33 4 2" xfId="7964"/>
    <cellStyle name="40% - Accent4 33 5" xfId="5827"/>
    <cellStyle name="40% - Accent4 34" xfId="504"/>
    <cellStyle name="40% - Accent4 34 2" xfId="981"/>
    <cellStyle name="40% - Accent4 34 2 2" xfId="4374"/>
    <cellStyle name="40% - Accent4 34 2 2 2" xfId="9707"/>
    <cellStyle name="40% - Accent4 34 2 3" xfId="2633"/>
    <cellStyle name="40% - Accent4 34 2 3 2" xfId="7967"/>
    <cellStyle name="40% - Accent4 34 2 4" xfId="6317"/>
    <cellStyle name="40% - Accent4 34 3" xfId="4375"/>
    <cellStyle name="40% - Accent4 34 3 2" xfId="9708"/>
    <cellStyle name="40% - Accent4 34 4" xfId="2632"/>
    <cellStyle name="40% - Accent4 34 4 2" xfId="7966"/>
    <cellStyle name="40% - Accent4 34 5" xfId="5841"/>
    <cellStyle name="40% - Accent4 35" xfId="995"/>
    <cellStyle name="40% - Accent4 35 2" xfId="4376"/>
    <cellStyle name="40% - Accent4 35 2 2" xfId="9709"/>
    <cellStyle name="40% - Accent4 35 3" xfId="2634"/>
    <cellStyle name="40% - Accent4 35 3 2" xfId="7968"/>
    <cellStyle name="40% - Accent4 35 4" xfId="6331"/>
    <cellStyle name="40% - Accent4 36" xfId="1009"/>
    <cellStyle name="40% - Accent4 36 2" xfId="4377"/>
    <cellStyle name="40% - Accent4 36 2 2" xfId="9710"/>
    <cellStyle name="40% - Accent4 36 3" xfId="2635"/>
    <cellStyle name="40% - Accent4 36 3 2" xfId="7969"/>
    <cellStyle name="40% - Accent4 36 4" xfId="6345"/>
    <cellStyle name="40% - Accent4 37" xfId="1023"/>
    <cellStyle name="40% - Accent4 37 2" xfId="4378"/>
    <cellStyle name="40% - Accent4 37 2 2" xfId="9711"/>
    <cellStyle name="40% - Accent4 37 3" xfId="2636"/>
    <cellStyle name="40% - Accent4 37 3 2" xfId="7970"/>
    <cellStyle name="40% - Accent4 37 4" xfId="6359"/>
    <cellStyle name="40% - Accent4 38" xfId="518"/>
    <cellStyle name="40% - Accent4 38 2" xfId="4379"/>
    <cellStyle name="40% - Accent4 38 2 2" xfId="9712"/>
    <cellStyle name="40% - Accent4 38 3" xfId="2637"/>
    <cellStyle name="40% - Accent4 38 3 2" xfId="7971"/>
    <cellStyle name="40% - Accent4 38 4" xfId="5855"/>
    <cellStyle name="40% - Accent4 39" xfId="1037"/>
    <cellStyle name="40% - Accent4 39 2" xfId="4380"/>
    <cellStyle name="40% - Accent4 39 2 2" xfId="9713"/>
    <cellStyle name="40% - Accent4 39 3" xfId="3259"/>
    <cellStyle name="40% - Accent4 39 3 2" xfId="8593"/>
    <cellStyle name="40% - Accent4 39 4" xfId="6373"/>
    <cellStyle name="40% - Accent4 4" xfId="83"/>
    <cellStyle name="40% - Accent4 4 2" xfId="560"/>
    <cellStyle name="40% - Accent4 4 2 2" xfId="4381"/>
    <cellStyle name="40% - Accent4 4 2 2 2" xfId="9714"/>
    <cellStyle name="40% - Accent4 4 2 3" xfId="2639"/>
    <cellStyle name="40% - Accent4 4 2 3 2" xfId="7973"/>
    <cellStyle name="40% - Accent4 4 2 4" xfId="5897"/>
    <cellStyle name="40% - Accent4 4 3" xfId="4382"/>
    <cellStyle name="40% - Accent4 4 3 2" xfId="9715"/>
    <cellStyle name="40% - Accent4 4 4" xfId="2638"/>
    <cellStyle name="40% - Accent4 4 4 2" xfId="7972"/>
    <cellStyle name="40% - Accent4 4 5" xfId="5421"/>
    <cellStyle name="40% - Accent4 40" xfId="1051"/>
    <cellStyle name="40% - Accent4 40 2" xfId="4383"/>
    <cellStyle name="40% - Accent4 40 2 2" xfId="9716"/>
    <cellStyle name="40% - Accent4 40 3" xfId="3260"/>
    <cellStyle name="40% - Accent4 40 3 2" xfId="8594"/>
    <cellStyle name="40% - Accent4 40 4" xfId="6387"/>
    <cellStyle name="40% - Accent4 41" xfId="1065"/>
    <cellStyle name="40% - Accent4 41 2" xfId="4384"/>
    <cellStyle name="40% - Accent4 41 2 2" xfId="9717"/>
    <cellStyle name="40% - Accent4 41 3" xfId="3261"/>
    <cellStyle name="40% - Accent4 41 3 2" xfId="8595"/>
    <cellStyle name="40% - Accent4 41 4" xfId="6401"/>
    <cellStyle name="40% - Accent4 42" xfId="1079"/>
    <cellStyle name="40% - Accent4 42 2" xfId="4385"/>
    <cellStyle name="40% - Accent4 42 2 2" xfId="9718"/>
    <cellStyle name="40% - Accent4 42 3" xfId="3262"/>
    <cellStyle name="40% - Accent4 42 3 2" xfId="8596"/>
    <cellStyle name="40% - Accent4 42 4" xfId="6415"/>
    <cellStyle name="40% - Accent4 43" xfId="1093"/>
    <cellStyle name="40% - Accent4 43 2" xfId="4386"/>
    <cellStyle name="40% - Accent4 43 2 2" xfId="9719"/>
    <cellStyle name="40% - Accent4 43 3" xfId="3263"/>
    <cellStyle name="40% - Accent4 43 3 2" xfId="8597"/>
    <cellStyle name="40% - Accent4 43 4" xfId="6429"/>
    <cellStyle name="40% - Accent4 44" xfId="1107"/>
    <cellStyle name="40% - Accent4 44 2" xfId="4387"/>
    <cellStyle name="40% - Accent4 44 2 2" xfId="9720"/>
    <cellStyle name="40% - Accent4 44 3" xfId="3264"/>
    <cellStyle name="40% - Accent4 44 3 2" xfId="8598"/>
    <cellStyle name="40% - Accent4 44 4" xfId="6443"/>
    <cellStyle name="40% - Accent4 45" xfId="1121"/>
    <cellStyle name="40% - Accent4 45 2" xfId="4388"/>
    <cellStyle name="40% - Accent4 45 2 2" xfId="9721"/>
    <cellStyle name="40% - Accent4 45 3" xfId="3265"/>
    <cellStyle name="40% - Accent4 45 3 2" xfId="8599"/>
    <cellStyle name="40% - Accent4 45 4" xfId="6457"/>
    <cellStyle name="40% - Accent4 46" xfId="1135"/>
    <cellStyle name="40% - Accent4 46 2" xfId="4389"/>
    <cellStyle name="40% - Accent4 46 2 2" xfId="9722"/>
    <cellStyle name="40% - Accent4 46 3" xfId="3266"/>
    <cellStyle name="40% - Accent4 46 3 2" xfId="8600"/>
    <cellStyle name="40% - Accent4 46 4" xfId="6471"/>
    <cellStyle name="40% - Accent4 47" xfId="1149"/>
    <cellStyle name="40% - Accent4 47 2" xfId="4390"/>
    <cellStyle name="40% - Accent4 47 2 2" xfId="9723"/>
    <cellStyle name="40% - Accent4 47 3" xfId="3267"/>
    <cellStyle name="40% - Accent4 47 3 2" xfId="8601"/>
    <cellStyle name="40% - Accent4 47 4" xfId="6485"/>
    <cellStyle name="40% - Accent4 48" xfId="1163"/>
    <cellStyle name="40% - Accent4 48 2" xfId="4391"/>
    <cellStyle name="40% - Accent4 48 2 2" xfId="9724"/>
    <cellStyle name="40% - Accent4 48 3" xfId="3268"/>
    <cellStyle name="40% - Accent4 48 3 2" xfId="8602"/>
    <cellStyle name="40% - Accent4 48 4" xfId="6499"/>
    <cellStyle name="40% - Accent4 49" xfId="1177"/>
    <cellStyle name="40% - Accent4 49 2" xfId="4392"/>
    <cellStyle name="40% - Accent4 49 2 2" xfId="9725"/>
    <cellStyle name="40% - Accent4 49 3" xfId="3269"/>
    <cellStyle name="40% - Accent4 49 3 2" xfId="8603"/>
    <cellStyle name="40% - Accent4 49 4" xfId="6513"/>
    <cellStyle name="40% - Accent4 5" xfId="97"/>
    <cellStyle name="40% - Accent4 5 2" xfId="574"/>
    <cellStyle name="40% - Accent4 5 2 2" xfId="4393"/>
    <cellStyle name="40% - Accent4 5 2 2 2" xfId="9726"/>
    <cellStyle name="40% - Accent4 5 2 3" xfId="2641"/>
    <cellStyle name="40% - Accent4 5 2 3 2" xfId="7975"/>
    <cellStyle name="40% - Accent4 5 2 4" xfId="5911"/>
    <cellStyle name="40% - Accent4 5 3" xfId="4394"/>
    <cellStyle name="40% - Accent4 5 3 2" xfId="9727"/>
    <cellStyle name="40% - Accent4 5 4" xfId="2640"/>
    <cellStyle name="40% - Accent4 5 4 2" xfId="7974"/>
    <cellStyle name="40% - Accent4 5 5" xfId="5435"/>
    <cellStyle name="40% - Accent4 50" xfId="1191"/>
    <cellStyle name="40% - Accent4 50 2" xfId="4395"/>
    <cellStyle name="40% - Accent4 50 2 2" xfId="9728"/>
    <cellStyle name="40% - Accent4 50 3" xfId="3270"/>
    <cellStyle name="40% - Accent4 50 3 2" xfId="8604"/>
    <cellStyle name="40% - Accent4 50 4" xfId="6527"/>
    <cellStyle name="40% - Accent4 51" xfId="1205"/>
    <cellStyle name="40% - Accent4 51 2" xfId="4396"/>
    <cellStyle name="40% - Accent4 51 2 2" xfId="9729"/>
    <cellStyle name="40% - Accent4 51 3" xfId="3271"/>
    <cellStyle name="40% - Accent4 51 3 2" xfId="8605"/>
    <cellStyle name="40% - Accent4 51 4" xfId="6541"/>
    <cellStyle name="40% - Accent4 52" xfId="1219"/>
    <cellStyle name="40% - Accent4 52 2" xfId="4397"/>
    <cellStyle name="40% - Accent4 52 2 2" xfId="9730"/>
    <cellStyle name="40% - Accent4 52 3" xfId="3272"/>
    <cellStyle name="40% - Accent4 52 3 2" xfId="8606"/>
    <cellStyle name="40% - Accent4 52 4" xfId="6555"/>
    <cellStyle name="40% - Accent4 53" xfId="1233"/>
    <cellStyle name="40% - Accent4 53 2" xfId="4398"/>
    <cellStyle name="40% - Accent4 53 2 2" xfId="9731"/>
    <cellStyle name="40% - Accent4 53 3" xfId="3273"/>
    <cellStyle name="40% - Accent4 53 3 2" xfId="8607"/>
    <cellStyle name="40% - Accent4 53 4" xfId="6569"/>
    <cellStyle name="40% - Accent4 54" xfId="1247"/>
    <cellStyle name="40% - Accent4 54 2" xfId="4399"/>
    <cellStyle name="40% - Accent4 54 2 2" xfId="9732"/>
    <cellStyle name="40% - Accent4 54 3" xfId="3274"/>
    <cellStyle name="40% - Accent4 54 3 2" xfId="8608"/>
    <cellStyle name="40% - Accent4 54 4" xfId="6583"/>
    <cellStyle name="40% - Accent4 55" xfId="1261"/>
    <cellStyle name="40% - Accent4 55 2" xfId="4400"/>
    <cellStyle name="40% - Accent4 55 2 2" xfId="9733"/>
    <cellStyle name="40% - Accent4 55 3" xfId="3275"/>
    <cellStyle name="40% - Accent4 55 3 2" xfId="8609"/>
    <cellStyle name="40% - Accent4 55 4" xfId="6597"/>
    <cellStyle name="40% - Accent4 56" xfId="1275"/>
    <cellStyle name="40% - Accent4 56 2" xfId="4401"/>
    <cellStyle name="40% - Accent4 56 2 2" xfId="9734"/>
    <cellStyle name="40% - Accent4 56 3" xfId="3276"/>
    <cellStyle name="40% - Accent4 56 3 2" xfId="8610"/>
    <cellStyle name="40% - Accent4 56 4" xfId="6611"/>
    <cellStyle name="40% - Accent4 57" xfId="1289"/>
    <cellStyle name="40% - Accent4 57 2" xfId="4402"/>
    <cellStyle name="40% - Accent4 57 2 2" xfId="9735"/>
    <cellStyle name="40% - Accent4 57 3" xfId="3277"/>
    <cellStyle name="40% - Accent4 57 3 2" xfId="8611"/>
    <cellStyle name="40% - Accent4 57 4" xfId="6625"/>
    <cellStyle name="40% - Accent4 58" xfId="1303"/>
    <cellStyle name="40% - Accent4 58 2" xfId="4403"/>
    <cellStyle name="40% - Accent4 58 2 2" xfId="9736"/>
    <cellStyle name="40% - Accent4 58 3" xfId="3278"/>
    <cellStyle name="40% - Accent4 58 3 2" xfId="8612"/>
    <cellStyle name="40% - Accent4 58 4" xfId="6639"/>
    <cellStyle name="40% - Accent4 59" xfId="1317"/>
    <cellStyle name="40% - Accent4 59 2" xfId="4404"/>
    <cellStyle name="40% - Accent4 59 2 2" xfId="9737"/>
    <cellStyle name="40% - Accent4 59 3" xfId="3279"/>
    <cellStyle name="40% - Accent4 59 3 2" xfId="8613"/>
    <cellStyle name="40% - Accent4 59 4" xfId="6653"/>
    <cellStyle name="40% - Accent4 6" xfId="111"/>
    <cellStyle name="40% - Accent4 6 2" xfId="588"/>
    <cellStyle name="40% - Accent4 6 2 2" xfId="4405"/>
    <cellStyle name="40% - Accent4 6 2 2 2" xfId="9738"/>
    <cellStyle name="40% - Accent4 6 2 3" xfId="2643"/>
    <cellStyle name="40% - Accent4 6 2 3 2" xfId="7977"/>
    <cellStyle name="40% - Accent4 6 2 4" xfId="5925"/>
    <cellStyle name="40% - Accent4 6 3" xfId="4406"/>
    <cellStyle name="40% - Accent4 6 3 2" xfId="9739"/>
    <cellStyle name="40% - Accent4 6 4" xfId="2642"/>
    <cellStyle name="40% - Accent4 6 4 2" xfId="7976"/>
    <cellStyle name="40% - Accent4 6 5" xfId="5449"/>
    <cellStyle name="40% - Accent4 60" xfId="1331"/>
    <cellStyle name="40% - Accent4 60 2" xfId="4407"/>
    <cellStyle name="40% - Accent4 60 2 2" xfId="9740"/>
    <cellStyle name="40% - Accent4 60 3" xfId="3280"/>
    <cellStyle name="40% - Accent4 60 3 2" xfId="8614"/>
    <cellStyle name="40% - Accent4 60 4" xfId="6667"/>
    <cellStyle name="40% - Accent4 61" xfId="1345"/>
    <cellStyle name="40% - Accent4 61 2" xfId="4408"/>
    <cellStyle name="40% - Accent4 61 2 2" xfId="9741"/>
    <cellStyle name="40% - Accent4 61 3" xfId="3281"/>
    <cellStyle name="40% - Accent4 61 3 2" xfId="8615"/>
    <cellStyle name="40% - Accent4 61 4" xfId="6681"/>
    <cellStyle name="40% - Accent4 62" xfId="1359"/>
    <cellStyle name="40% - Accent4 62 2" xfId="3282"/>
    <cellStyle name="40% - Accent4 62 2 2" xfId="8616"/>
    <cellStyle name="40% - Accent4 62 3" xfId="6695"/>
    <cellStyle name="40% - Accent4 63" xfId="1373"/>
    <cellStyle name="40% - Accent4 63 2" xfId="3283"/>
    <cellStyle name="40% - Accent4 63 2 2" xfId="8617"/>
    <cellStyle name="40% - Accent4 63 3" xfId="6709"/>
    <cellStyle name="40% - Accent4 64" xfId="1387"/>
    <cellStyle name="40% - Accent4 64 2" xfId="3284"/>
    <cellStyle name="40% - Accent4 64 2 2" xfId="8618"/>
    <cellStyle name="40% - Accent4 64 3" xfId="6723"/>
    <cellStyle name="40% - Accent4 65" xfId="1401"/>
    <cellStyle name="40% - Accent4 65 2" xfId="3285"/>
    <cellStyle name="40% - Accent4 65 2 2" xfId="8619"/>
    <cellStyle name="40% - Accent4 65 3" xfId="6737"/>
    <cellStyle name="40% - Accent4 66" xfId="1415"/>
    <cellStyle name="40% - Accent4 66 2" xfId="3286"/>
    <cellStyle name="40% - Accent4 66 2 2" xfId="8620"/>
    <cellStyle name="40% - Accent4 66 3" xfId="6751"/>
    <cellStyle name="40% - Accent4 67" xfId="1429"/>
    <cellStyle name="40% - Accent4 67 2" xfId="3287"/>
    <cellStyle name="40% - Accent4 67 2 2" xfId="8621"/>
    <cellStyle name="40% - Accent4 67 3" xfId="6765"/>
    <cellStyle name="40% - Accent4 68" xfId="1443"/>
    <cellStyle name="40% - Accent4 68 2" xfId="3288"/>
    <cellStyle name="40% - Accent4 68 2 2" xfId="8622"/>
    <cellStyle name="40% - Accent4 68 3" xfId="6779"/>
    <cellStyle name="40% - Accent4 69" xfId="1457"/>
    <cellStyle name="40% - Accent4 69 2" xfId="3289"/>
    <cellStyle name="40% - Accent4 69 2 2" xfId="8623"/>
    <cellStyle name="40% - Accent4 69 3" xfId="6793"/>
    <cellStyle name="40% - Accent4 7" xfId="125"/>
    <cellStyle name="40% - Accent4 7 2" xfId="602"/>
    <cellStyle name="40% - Accent4 7 2 2" xfId="4409"/>
    <cellStyle name="40% - Accent4 7 2 2 2" xfId="9742"/>
    <cellStyle name="40% - Accent4 7 2 3" xfId="2645"/>
    <cellStyle name="40% - Accent4 7 2 3 2" xfId="7979"/>
    <cellStyle name="40% - Accent4 7 2 4" xfId="5939"/>
    <cellStyle name="40% - Accent4 7 3" xfId="4410"/>
    <cellStyle name="40% - Accent4 7 3 2" xfId="9743"/>
    <cellStyle name="40% - Accent4 7 4" xfId="2644"/>
    <cellStyle name="40% - Accent4 7 4 2" xfId="7978"/>
    <cellStyle name="40% - Accent4 7 5" xfId="5463"/>
    <cellStyle name="40% - Accent4 70" xfId="1471"/>
    <cellStyle name="40% - Accent4 70 2" xfId="3290"/>
    <cellStyle name="40% - Accent4 70 2 2" xfId="8624"/>
    <cellStyle name="40% - Accent4 70 3" xfId="6807"/>
    <cellStyle name="40% - Accent4 71" xfId="1485"/>
    <cellStyle name="40% - Accent4 71 2" xfId="3291"/>
    <cellStyle name="40% - Accent4 71 2 2" xfId="8625"/>
    <cellStyle name="40% - Accent4 71 3" xfId="6821"/>
    <cellStyle name="40% - Accent4 72" xfId="1499"/>
    <cellStyle name="40% - Accent4 72 2" xfId="3292"/>
    <cellStyle name="40% - Accent4 72 2 2" xfId="8626"/>
    <cellStyle name="40% - Accent4 72 3" xfId="6835"/>
    <cellStyle name="40% - Accent4 73" xfId="1513"/>
    <cellStyle name="40% - Accent4 73 2" xfId="3293"/>
    <cellStyle name="40% - Accent4 73 2 2" xfId="8627"/>
    <cellStyle name="40% - Accent4 73 3" xfId="6849"/>
    <cellStyle name="40% - Accent4 74" xfId="1527"/>
    <cellStyle name="40% - Accent4 74 2" xfId="3294"/>
    <cellStyle name="40% - Accent4 74 2 2" xfId="8628"/>
    <cellStyle name="40% - Accent4 74 3" xfId="6863"/>
    <cellStyle name="40% - Accent4 75" xfId="1541"/>
    <cellStyle name="40% - Accent4 75 2" xfId="3295"/>
    <cellStyle name="40% - Accent4 75 2 2" xfId="8629"/>
    <cellStyle name="40% - Accent4 75 3" xfId="6877"/>
    <cellStyle name="40% - Accent4 76" xfId="1555"/>
    <cellStyle name="40% - Accent4 76 2" xfId="3468"/>
    <cellStyle name="40% - Accent4 76 2 2" xfId="8802"/>
    <cellStyle name="40% - Accent4 76 3" xfId="6891"/>
    <cellStyle name="40% - Accent4 77" xfId="1569"/>
    <cellStyle name="40% - Accent4 77 2" xfId="3469"/>
    <cellStyle name="40% - Accent4 77 2 2" xfId="8803"/>
    <cellStyle name="40% - Accent4 77 3" xfId="6905"/>
    <cellStyle name="40% - Accent4 78" xfId="1583"/>
    <cellStyle name="40% - Accent4 78 2" xfId="3470"/>
    <cellStyle name="40% - Accent4 78 2 2" xfId="8804"/>
    <cellStyle name="40% - Accent4 78 3" xfId="6919"/>
    <cellStyle name="40% - Accent4 79" xfId="1597"/>
    <cellStyle name="40% - Accent4 79 2" xfId="3471"/>
    <cellStyle name="40% - Accent4 79 2 2" xfId="8805"/>
    <cellStyle name="40% - Accent4 79 3" xfId="6933"/>
    <cellStyle name="40% - Accent4 8" xfId="139"/>
    <cellStyle name="40% - Accent4 8 2" xfId="616"/>
    <cellStyle name="40% - Accent4 8 2 2" xfId="4411"/>
    <cellStyle name="40% - Accent4 8 2 2 2" xfId="9744"/>
    <cellStyle name="40% - Accent4 8 2 3" xfId="2647"/>
    <cellStyle name="40% - Accent4 8 2 3 2" xfId="7981"/>
    <cellStyle name="40% - Accent4 8 2 4" xfId="5953"/>
    <cellStyle name="40% - Accent4 8 3" xfId="4412"/>
    <cellStyle name="40% - Accent4 8 3 2" xfId="9745"/>
    <cellStyle name="40% - Accent4 8 4" xfId="2646"/>
    <cellStyle name="40% - Accent4 8 4 2" xfId="7980"/>
    <cellStyle name="40% - Accent4 8 5" xfId="5477"/>
    <cellStyle name="40% - Accent4 80" xfId="1611"/>
    <cellStyle name="40% - Accent4 80 2" xfId="4839"/>
    <cellStyle name="40% - Accent4 80 2 2" xfId="10172"/>
    <cellStyle name="40% - Accent4 80 3" xfId="6947"/>
    <cellStyle name="40% - Accent4 81" xfId="1625"/>
    <cellStyle name="40% - Accent4 81 2" xfId="4840"/>
    <cellStyle name="40% - Accent4 81 2 2" xfId="10173"/>
    <cellStyle name="40% - Accent4 81 3" xfId="6961"/>
    <cellStyle name="40% - Accent4 82" xfId="1639"/>
    <cellStyle name="40% - Accent4 82 2" xfId="4841"/>
    <cellStyle name="40% - Accent4 82 2 2" xfId="10174"/>
    <cellStyle name="40% - Accent4 82 3" xfId="6975"/>
    <cellStyle name="40% - Accent4 83" xfId="1653"/>
    <cellStyle name="40% - Accent4 83 2" xfId="4842"/>
    <cellStyle name="40% - Accent4 83 2 2" xfId="10175"/>
    <cellStyle name="40% - Accent4 83 3" xfId="6989"/>
    <cellStyle name="40% - Accent4 84" xfId="1667"/>
    <cellStyle name="40% - Accent4 84 2" xfId="4843"/>
    <cellStyle name="40% - Accent4 84 2 2" xfId="10176"/>
    <cellStyle name="40% - Accent4 84 3" xfId="7003"/>
    <cellStyle name="40% - Accent4 85" xfId="1681"/>
    <cellStyle name="40% - Accent4 85 2" xfId="4889"/>
    <cellStyle name="40% - Accent4 85 2 2" xfId="10222"/>
    <cellStyle name="40% - Accent4 85 3" xfId="7017"/>
    <cellStyle name="40% - Accent4 86" xfId="1695"/>
    <cellStyle name="40% - Accent4 86 2" xfId="4890"/>
    <cellStyle name="40% - Accent4 86 2 2" xfId="10223"/>
    <cellStyle name="40% - Accent4 86 3" xfId="7031"/>
    <cellStyle name="40% - Accent4 87" xfId="1709"/>
    <cellStyle name="40% - Accent4 87 2" xfId="4891"/>
    <cellStyle name="40% - Accent4 87 2 2" xfId="10224"/>
    <cellStyle name="40% - Accent4 87 3" xfId="7045"/>
    <cellStyle name="40% - Accent4 88" xfId="1723"/>
    <cellStyle name="40% - Accent4 88 2" xfId="4960"/>
    <cellStyle name="40% - Accent4 88 2 2" xfId="10293"/>
    <cellStyle name="40% - Accent4 88 3" xfId="7059"/>
    <cellStyle name="40% - Accent4 89" xfId="1737"/>
    <cellStyle name="40% - Accent4 89 2" xfId="4961"/>
    <cellStyle name="40% - Accent4 89 2 2" xfId="10294"/>
    <cellStyle name="40% - Accent4 89 3" xfId="7073"/>
    <cellStyle name="40% - Accent4 9" xfId="153"/>
    <cellStyle name="40% - Accent4 9 2" xfId="630"/>
    <cellStyle name="40% - Accent4 9 2 2" xfId="4413"/>
    <cellStyle name="40% - Accent4 9 2 2 2" xfId="9746"/>
    <cellStyle name="40% - Accent4 9 2 3" xfId="2649"/>
    <cellStyle name="40% - Accent4 9 2 3 2" xfId="7983"/>
    <cellStyle name="40% - Accent4 9 2 4" xfId="5967"/>
    <cellStyle name="40% - Accent4 9 3" xfId="4414"/>
    <cellStyle name="40% - Accent4 9 3 2" xfId="9747"/>
    <cellStyle name="40% - Accent4 9 4" xfId="2648"/>
    <cellStyle name="40% - Accent4 9 4 2" xfId="7982"/>
    <cellStyle name="40% - Accent4 9 5" xfId="5491"/>
    <cellStyle name="40% - Accent4 90" xfId="1751"/>
    <cellStyle name="40% - Accent4 90 2" xfId="4962"/>
    <cellStyle name="40% - Accent4 90 2 2" xfId="10295"/>
    <cellStyle name="40% - Accent4 90 3" xfId="7087"/>
    <cellStyle name="40% - Accent4 91" xfId="1765"/>
    <cellStyle name="40% - Accent4 91 2" xfId="4963"/>
    <cellStyle name="40% - Accent4 91 2 2" xfId="10296"/>
    <cellStyle name="40% - Accent4 91 3" xfId="7101"/>
    <cellStyle name="40% - Accent4 92" xfId="1779"/>
    <cellStyle name="40% - Accent4 92 2" xfId="4964"/>
    <cellStyle name="40% - Accent4 92 2 2" xfId="10297"/>
    <cellStyle name="40% - Accent4 92 3" xfId="7115"/>
    <cellStyle name="40% - Accent4 93" xfId="1793"/>
    <cellStyle name="40% - Accent4 93 2" xfId="4965"/>
    <cellStyle name="40% - Accent4 93 2 2" xfId="10298"/>
    <cellStyle name="40% - Accent4 93 3" xfId="7129"/>
    <cellStyle name="40% - Accent4 94" xfId="1807"/>
    <cellStyle name="40% - Accent4 94 2" xfId="5007"/>
    <cellStyle name="40% - Accent4 94 2 2" xfId="10338"/>
    <cellStyle name="40% - Accent4 94 3" xfId="7143"/>
    <cellStyle name="40% - Accent4 95" xfId="1821"/>
    <cellStyle name="40% - Accent4 95 2" xfId="5008"/>
    <cellStyle name="40% - Accent4 95 2 2" xfId="10339"/>
    <cellStyle name="40% - Accent4 95 3" xfId="7157"/>
    <cellStyle name="40% - Accent4 96" xfId="1835"/>
    <cellStyle name="40% - Accent4 96 2" xfId="5054"/>
    <cellStyle name="40% - Accent4 96 2 2" xfId="10385"/>
    <cellStyle name="40% - Accent4 96 3" xfId="7171"/>
    <cellStyle name="40% - Accent4 97" xfId="1849"/>
    <cellStyle name="40% - Accent4 97 2" xfId="5055"/>
    <cellStyle name="40% - Accent4 97 2 2" xfId="10386"/>
    <cellStyle name="40% - Accent4 97 3" xfId="7185"/>
    <cellStyle name="40% - Accent4 98" xfId="1863"/>
    <cellStyle name="40% - Accent4 98 2" xfId="5056"/>
    <cellStyle name="40% - Accent4 98 2 2" xfId="10387"/>
    <cellStyle name="40% - Accent4 98 3" xfId="7199"/>
    <cellStyle name="40% - Accent4 99" xfId="1877"/>
    <cellStyle name="40% - Accent4 99 2" xfId="5057"/>
    <cellStyle name="40% - Accent4 99 2 2" xfId="10388"/>
    <cellStyle name="40% - Accent4 99 3" xfId="7213"/>
    <cellStyle name="40% - Accent5" xfId="11" builtinId="47" customBuiltin="1"/>
    <cellStyle name="40% - Accent5 10" xfId="169"/>
    <cellStyle name="40% - Accent5 10 2" xfId="646"/>
    <cellStyle name="40% - Accent5 10 2 2" xfId="4415"/>
    <cellStyle name="40% - Accent5 10 2 2 2" xfId="9748"/>
    <cellStyle name="40% - Accent5 10 2 3" xfId="2651"/>
    <cellStyle name="40% - Accent5 10 2 3 2" xfId="7985"/>
    <cellStyle name="40% - Accent5 10 2 4" xfId="5983"/>
    <cellStyle name="40% - Accent5 10 3" xfId="4416"/>
    <cellStyle name="40% - Accent5 10 3 2" xfId="9749"/>
    <cellStyle name="40% - Accent5 10 4" xfId="2650"/>
    <cellStyle name="40% - Accent5 10 4 2" xfId="7984"/>
    <cellStyle name="40% - Accent5 10 5" xfId="5507"/>
    <cellStyle name="40% - Accent5 100" xfId="1893"/>
    <cellStyle name="40% - Accent5 100 2" xfId="7229"/>
    <cellStyle name="40% - Accent5 101" xfId="1907"/>
    <cellStyle name="40% - Accent5 101 2" xfId="7243"/>
    <cellStyle name="40% - Accent5 102" xfId="1921"/>
    <cellStyle name="40% - Accent5 102 2" xfId="7257"/>
    <cellStyle name="40% - Accent5 103" xfId="5082"/>
    <cellStyle name="40% - Accent5 103 2" xfId="10413"/>
    <cellStyle name="40% - Accent5 104" xfId="5096"/>
    <cellStyle name="40% - Accent5 104 2" xfId="10427"/>
    <cellStyle name="40% - Accent5 105" xfId="5110"/>
    <cellStyle name="40% - Accent5 105 2" xfId="10441"/>
    <cellStyle name="40% - Accent5 106" xfId="5124"/>
    <cellStyle name="40% - Accent5 106 2" xfId="10455"/>
    <cellStyle name="40% - Accent5 107" xfId="5138"/>
    <cellStyle name="40% - Accent5 107 2" xfId="10469"/>
    <cellStyle name="40% - Accent5 108" xfId="5152"/>
    <cellStyle name="40% - Accent5 108 2" xfId="10483"/>
    <cellStyle name="40% - Accent5 109" xfId="5166"/>
    <cellStyle name="40% - Accent5 109 2" xfId="10497"/>
    <cellStyle name="40% - Accent5 11" xfId="183"/>
    <cellStyle name="40% - Accent5 11 2" xfId="660"/>
    <cellStyle name="40% - Accent5 11 2 2" xfId="4417"/>
    <cellStyle name="40% - Accent5 11 2 2 2" xfId="9750"/>
    <cellStyle name="40% - Accent5 11 2 3" xfId="2653"/>
    <cellStyle name="40% - Accent5 11 2 3 2" xfId="7987"/>
    <cellStyle name="40% - Accent5 11 2 4" xfId="5997"/>
    <cellStyle name="40% - Accent5 11 3" xfId="4418"/>
    <cellStyle name="40% - Accent5 11 3 2" xfId="9751"/>
    <cellStyle name="40% - Accent5 11 4" xfId="2652"/>
    <cellStyle name="40% - Accent5 11 4 2" xfId="7986"/>
    <cellStyle name="40% - Accent5 11 5" xfId="5521"/>
    <cellStyle name="40% - Accent5 110" xfId="5180"/>
    <cellStyle name="40% - Accent5 110 2" xfId="10511"/>
    <cellStyle name="40% - Accent5 111" xfId="5194"/>
    <cellStyle name="40% - Accent5 111 2" xfId="10525"/>
    <cellStyle name="40% - Accent5 112" xfId="5208"/>
    <cellStyle name="40% - Accent5 112 2" xfId="10539"/>
    <cellStyle name="40% - Accent5 113" xfId="5222"/>
    <cellStyle name="40% - Accent5 113 2" xfId="10553"/>
    <cellStyle name="40% - Accent5 114" xfId="5236"/>
    <cellStyle name="40% - Accent5 114 2" xfId="10567"/>
    <cellStyle name="40% - Accent5 115" xfId="5250"/>
    <cellStyle name="40% - Accent5 115 2" xfId="10581"/>
    <cellStyle name="40% - Accent5 116" xfId="5264"/>
    <cellStyle name="40% - Accent5 116 2" xfId="10595"/>
    <cellStyle name="40% - Accent5 117" xfId="5278"/>
    <cellStyle name="40% - Accent5 117 2" xfId="10609"/>
    <cellStyle name="40% - Accent5 118" xfId="5292"/>
    <cellStyle name="40% - Accent5 118 2" xfId="10623"/>
    <cellStyle name="40% - Accent5 119" xfId="5306"/>
    <cellStyle name="40% - Accent5 119 2" xfId="10637"/>
    <cellStyle name="40% - Accent5 12" xfId="197"/>
    <cellStyle name="40% - Accent5 12 2" xfId="674"/>
    <cellStyle name="40% - Accent5 12 2 2" xfId="4419"/>
    <cellStyle name="40% - Accent5 12 2 2 2" xfId="9752"/>
    <cellStyle name="40% - Accent5 12 2 3" xfId="2655"/>
    <cellStyle name="40% - Accent5 12 2 3 2" xfId="7989"/>
    <cellStyle name="40% - Accent5 12 2 4" xfId="6011"/>
    <cellStyle name="40% - Accent5 12 3" xfId="4420"/>
    <cellStyle name="40% - Accent5 12 3 2" xfId="9753"/>
    <cellStyle name="40% - Accent5 12 4" xfId="2654"/>
    <cellStyle name="40% - Accent5 12 4 2" xfId="7988"/>
    <cellStyle name="40% - Accent5 12 5" xfId="5535"/>
    <cellStyle name="40% - Accent5 120" xfId="5320"/>
    <cellStyle name="40% - Accent5 120 2" xfId="10651"/>
    <cellStyle name="40% - Accent5 121" xfId="5334"/>
    <cellStyle name="40% - Accent5 121 2" xfId="10665"/>
    <cellStyle name="40% - Accent5 122" xfId="5348"/>
    <cellStyle name="40% - Accent5 122 2" xfId="10679"/>
    <cellStyle name="40% - Accent5 123" xfId="5367"/>
    <cellStyle name="40% - Accent5 123 2" xfId="10696"/>
    <cellStyle name="40% - Accent5 124" xfId="10710"/>
    <cellStyle name="40% - Accent5 125" xfId="5380"/>
    <cellStyle name="40% - Accent5 126" xfId="10724"/>
    <cellStyle name="40% - Accent5 127" xfId="10738"/>
    <cellStyle name="40% - Accent5 128" xfId="10752"/>
    <cellStyle name="40% - Accent5 129" xfId="10766"/>
    <cellStyle name="40% - Accent5 13" xfId="211"/>
    <cellStyle name="40% - Accent5 13 2" xfId="688"/>
    <cellStyle name="40% - Accent5 13 2 2" xfId="4421"/>
    <cellStyle name="40% - Accent5 13 2 2 2" xfId="9754"/>
    <cellStyle name="40% - Accent5 13 2 3" xfId="2657"/>
    <cellStyle name="40% - Accent5 13 2 3 2" xfId="7991"/>
    <cellStyle name="40% - Accent5 13 2 4" xfId="6025"/>
    <cellStyle name="40% - Accent5 13 3" xfId="4422"/>
    <cellStyle name="40% - Accent5 13 3 2" xfId="9755"/>
    <cellStyle name="40% - Accent5 13 4" xfId="2656"/>
    <cellStyle name="40% - Accent5 13 4 2" xfId="7990"/>
    <cellStyle name="40% - Accent5 13 5" xfId="5549"/>
    <cellStyle name="40% - Accent5 130" xfId="10780"/>
    <cellStyle name="40% - Accent5 131" xfId="10795"/>
    <cellStyle name="40% - Accent5 132" xfId="10809"/>
    <cellStyle name="40% - Accent5 133" xfId="10823"/>
    <cellStyle name="40% - Accent5 134" xfId="10837"/>
    <cellStyle name="40% - Accent5 135" xfId="10851"/>
    <cellStyle name="40% - Accent5 136" xfId="10865"/>
    <cellStyle name="40% - Accent5 137" xfId="10879"/>
    <cellStyle name="40% - Accent5 138" xfId="10893"/>
    <cellStyle name="40% - Accent5 139" xfId="10907"/>
    <cellStyle name="40% - Accent5 14" xfId="225"/>
    <cellStyle name="40% - Accent5 14 2" xfId="702"/>
    <cellStyle name="40% - Accent5 14 2 2" xfId="4423"/>
    <cellStyle name="40% - Accent5 14 2 2 2" xfId="9756"/>
    <cellStyle name="40% - Accent5 14 2 3" xfId="2659"/>
    <cellStyle name="40% - Accent5 14 2 3 2" xfId="7993"/>
    <cellStyle name="40% - Accent5 14 2 4" xfId="6039"/>
    <cellStyle name="40% - Accent5 14 3" xfId="4424"/>
    <cellStyle name="40% - Accent5 14 3 2" xfId="9757"/>
    <cellStyle name="40% - Accent5 14 4" xfId="2658"/>
    <cellStyle name="40% - Accent5 14 4 2" xfId="7992"/>
    <cellStyle name="40% - Accent5 14 5" xfId="5563"/>
    <cellStyle name="40% - Accent5 140" xfId="10921"/>
    <cellStyle name="40% - Accent5 141" xfId="10935"/>
    <cellStyle name="40% - Accent5 142" xfId="10949"/>
    <cellStyle name="40% - Accent5 143" xfId="10963"/>
    <cellStyle name="40% - Accent5 144" xfId="10977"/>
    <cellStyle name="40% - Accent5 145" xfId="10991"/>
    <cellStyle name="40% - Accent5 146" xfId="11005"/>
    <cellStyle name="40% - Accent5 147" xfId="11019"/>
    <cellStyle name="40% - Accent5 148" xfId="11033"/>
    <cellStyle name="40% - Accent5 149" xfId="11047"/>
    <cellStyle name="40% - Accent5 15" xfId="239"/>
    <cellStyle name="40% - Accent5 15 2" xfId="716"/>
    <cellStyle name="40% - Accent5 15 2 2" xfId="4425"/>
    <cellStyle name="40% - Accent5 15 2 2 2" xfId="9758"/>
    <cellStyle name="40% - Accent5 15 2 3" xfId="2661"/>
    <cellStyle name="40% - Accent5 15 2 3 2" xfId="7995"/>
    <cellStyle name="40% - Accent5 15 2 4" xfId="6053"/>
    <cellStyle name="40% - Accent5 15 3" xfId="4426"/>
    <cellStyle name="40% - Accent5 15 3 2" xfId="9759"/>
    <cellStyle name="40% - Accent5 15 4" xfId="2660"/>
    <cellStyle name="40% - Accent5 15 4 2" xfId="7994"/>
    <cellStyle name="40% - Accent5 15 5" xfId="5577"/>
    <cellStyle name="40% - Accent5 150" xfId="11061"/>
    <cellStyle name="40% - Accent5 16" xfId="253"/>
    <cellStyle name="40% - Accent5 16 2" xfId="730"/>
    <cellStyle name="40% - Accent5 16 2 2" xfId="4427"/>
    <cellStyle name="40% - Accent5 16 2 2 2" xfId="9760"/>
    <cellStyle name="40% - Accent5 16 2 3" xfId="2663"/>
    <cellStyle name="40% - Accent5 16 2 3 2" xfId="7997"/>
    <cellStyle name="40% - Accent5 16 2 4" xfId="6067"/>
    <cellStyle name="40% - Accent5 16 3" xfId="4428"/>
    <cellStyle name="40% - Accent5 16 3 2" xfId="9761"/>
    <cellStyle name="40% - Accent5 16 4" xfId="2662"/>
    <cellStyle name="40% - Accent5 16 4 2" xfId="7996"/>
    <cellStyle name="40% - Accent5 16 5" xfId="5591"/>
    <cellStyle name="40% - Accent5 17" xfId="267"/>
    <cellStyle name="40% - Accent5 17 2" xfId="744"/>
    <cellStyle name="40% - Accent5 17 2 2" xfId="4429"/>
    <cellStyle name="40% - Accent5 17 2 2 2" xfId="9762"/>
    <cellStyle name="40% - Accent5 17 2 3" xfId="2665"/>
    <cellStyle name="40% - Accent5 17 2 3 2" xfId="7999"/>
    <cellStyle name="40% - Accent5 17 2 4" xfId="6081"/>
    <cellStyle name="40% - Accent5 17 3" xfId="4430"/>
    <cellStyle name="40% - Accent5 17 3 2" xfId="9763"/>
    <cellStyle name="40% - Accent5 17 4" xfId="2664"/>
    <cellStyle name="40% - Accent5 17 4 2" xfId="7998"/>
    <cellStyle name="40% - Accent5 17 5" xfId="5605"/>
    <cellStyle name="40% - Accent5 18" xfId="281"/>
    <cellStyle name="40% - Accent5 18 2" xfId="758"/>
    <cellStyle name="40% - Accent5 18 2 2" xfId="4431"/>
    <cellStyle name="40% - Accent5 18 2 2 2" xfId="9764"/>
    <cellStyle name="40% - Accent5 18 2 3" xfId="2667"/>
    <cellStyle name="40% - Accent5 18 2 3 2" xfId="8001"/>
    <cellStyle name="40% - Accent5 18 2 4" xfId="6095"/>
    <cellStyle name="40% - Accent5 18 3" xfId="4432"/>
    <cellStyle name="40% - Accent5 18 3 2" xfId="9765"/>
    <cellStyle name="40% - Accent5 18 4" xfId="2666"/>
    <cellStyle name="40% - Accent5 18 4 2" xfId="8000"/>
    <cellStyle name="40% - Accent5 18 5" xfId="5619"/>
    <cellStyle name="40% - Accent5 19" xfId="295"/>
    <cellStyle name="40% - Accent5 19 2" xfId="772"/>
    <cellStyle name="40% - Accent5 19 2 2" xfId="4433"/>
    <cellStyle name="40% - Accent5 19 2 2 2" xfId="9766"/>
    <cellStyle name="40% - Accent5 19 2 3" xfId="2669"/>
    <cellStyle name="40% - Accent5 19 2 3 2" xfId="8003"/>
    <cellStyle name="40% - Accent5 19 2 4" xfId="6109"/>
    <cellStyle name="40% - Accent5 19 3" xfId="4434"/>
    <cellStyle name="40% - Accent5 19 3 2" xfId="9767"/>
    <cellStyle name="40% - Accent5 19 4" xfId="2668"/>
    <cellStyle name="40% - Accent5 19 4 2" xfId="8002"/>
    <cellStyle name="40% - Accent5 19 5" xfId="5633"/>
    <cellStyle name="40% - Accent5 2" xfId="57"/>
    <cellStyle name="40% - Accent5 2 2" xfId="534"/>
    <cellStyle name="40% - Accent5 2 2 2" xfId="4435"/>
    <cellStyle name="40% - Accent5 2 2 2 2" xfId="9768"/>
    <cellStyle name="40% - Accent5 2 2 3" xfId="2671"/>
    <cellStyle name="40% - Accent5 2 2 3 2" xfId="8005"/>
    <cellStyle name="40% - Accent5 2 2 4" xfId="5871"/>
    <cellStyle name="40% - Accent5 2 3" xfId="4436"/>
    <cellStyle name="40% - Accent5 2 3 2" xfId="9769"/>
    <cellStyle name="40% - Accent5 2 4" xfId="2670"/>
    <cellStyle name="40% - Accent5 2 4 2" xfId="8004"/>
    <cellStyle name="40% - Accent5 2 5" xfId="5395"/>
    <cellStyle name="40% - Accent5 20" xfId="309"/>
    <cellStyle name="40% - Accent5 20 2" xfId="786"/>
    <cellStyle name="40% - Accent5 20 2 2" xfId="4437"/>
    <cellStyle name="40% - Accent5 20 2 2 2" xfId="9770"/>
    <cellStyle name="40% - Accent5 20 2 3" xfId="2673"/>
    <cellStyle name="40% - Accent5 20 2 3 2" xfId="8007"/>
    <cellStyle name="40% - Accent5 20 2 4" xfId="6123"/>
    <cellStyle name="40% - Accent5 20 3" xfId="4438"/>
    <cellStyle name="40% - Accent5 20 3 2" xfId="9771"/>
    <cellStyle name="40% - Accent5 20 4" xfId="2672"/>
    <cellStyle name="40% - Accent5 20 4 2" xfId="8006"/>
    <cellStyle name="40% - Accent5 20 5" xfId="5647"/>
    <cellStyle name="40% - Accent5 21" xfId="324"/>
    <cellStyle name="40% - Accent5 21 2" xfId="801"/>
    <cellStyle name="40% - Accent5 21 2 2" xfId="4439"/>
    <cellStyle name="40% - Accent5 21 2 2 2" xfId="9772"/>
    <cellStyle name="40% - Accent5 21 2 3" xfId="2675"/>
    <cellStyle name="40% - Accent5 21 2 3 2" xfId="8009"/>
    <cellStyle name="40% - Accent5 21 2 4" xfId="6137"/>
    <cellStyle name="40% - Accent5 21 3" xfId="4440"/>
    <cellStyle name="40% - Accent5 21 3 2" xfId="9773"/>
    <cellStyle name="40% - Accent5 21 4" xfId="2674"/>
    <cellStyle name="40% - Accent5 21 4 2" xfId="8008"/>
    <cellStyle name="40% - Accent5 21 5" xfId="5661"/>
    <cellStyle name="40% - Accent5 22" xfId="338"/>
    <cellStyle name="40% - Accent5 22 2" xfId="815"/>
    <cellStyle name="40% - Accent5 22 2 2" xfId="4441"/>
    <cellStyle name="40% - Accent5 22 2 2 2" xfId="9774"/>
    <cellStyle name="40% - Accent5 22 2 3" xfId="2677"/>
    <cellStyle name="40% - Accent5 22 2 3 2" xfId="8011"/>
    <cellStyle name="40% - Accent5 22 2 4" xfId="6151"/>
    <cellStyle name="40% - Accent5 22 3" xfId="4442"/>
    <cellStyle name="40% - Accent5 22 3 2" xfId="9775"/>
    <cellStyle name="40% - Accent5 22 4" xfId="2676"/>
    <cellStyle name="40% - Accent5 22 4 2" xfId="8010"/>
    <cellStyle name="40% - Accent5 22 5" xfId="5675"/>
    <cellStyle name="40% - Accent5 23" xfId="352"/>
    <cellStyle name="40% - Accent5 23 2" xfId="829"/>
    <cellStyle name="40% - Accent5 23 2 2" xfId="4443"/>
    <cellStyle name="40% - Accent5 23 2 2 2" xfId="9776"/>
    <cellStyle name="40% - Accent5 23 2 3" xfId="2679"/>
    <cellStyle name="40% - Accent5 23 2 3 2" xfId="8013"/>
    <cellStyle name="40% - Accent5 23 2 4" xfId="6165"/>
    <cellStyle name="40% - Accent5 23 3" xfId="4444"/>
    <cellStyle name="40% - Accent5 23 3 2" xfId="9777"/>
    <cellStyle name="40% - Accent5 23 4" xfId="2678"/>
    <cellStyle name="40% - Accent5 23 4 2" xfId="8012"/>
    <cellStyle name="40% - Accent5 23 5" xfId="5689"/>
    <cellStyle name="40% - Accent5 24" xfId="366"/>
    <cellStyle name="40% - Accent5 24 2" xfId="843"/>
    <cellStyle name="40% - Accent5 24 2 2" xfId="4445"/>
    <cellStyle name="40% - Accent5 24 2 2 2" xfId="9778"/>
    <cellStyle name="40% - Accent5 24 2 3" xfId="2681"/>
    <cellStyle name="40% - Accent5 24 2 3 2" xfId="8015"/>
    <cellStyle name="40% - Accent5 24 2 4" xfId="6179"/>
    <cellStyle name="40% - Accent5 24 3" xfId="4446"/>
    <cellStyle name="40% - Accent5 24 3 2" xfId="9779"/>
    <cellStyle name="40% - Accent5 24 4" xfId="2680"/>
    <cellStyle name="40% - Accent5 24 4 2" xfId="8014"/>
    <cellStyle name="40% - Accent5 24 5" xfId="5703"/>
    <cellStyle name="40% - Accent5 25" xfId="380"/>
    <cellStyle name="40% - Accent5 25 2" xfId="857"/>
    <cellStyle name="40% - Accent5 25 2 2" xfId="4447"/>
    <cellStyle name="40% - Accent5 25 2 2 2" xfId="9780"/>
    <cellStyle name="40% - Accent5 25 2 3" xfId="2683"/>
    <cellStyle name="40% - Accent5 25 2 3 2" xfId="8017"/>
    <cellStyle name="40% - Accent5 25 2 4" xfId="6193"/>
    <cellStyle name="40% - Accent5 25 3" xfId="4448"/>
    <cellStyle name="40% - Accent5 25 3 2" xfId="9781"/>
    <cellStyle name="40% - Accent5 25 4" xfId="2682"/>
    <cellStyle name="40% - Accent5 25 4 2" xfId="8016"/>
    <cellStyle name="40% - Accent5 25 5" xfId="5717"/>
    <cellStyle name="40% - Accent5 26" xfId="394"/>
    <cellStyle name="40% - Accent5 26 2" xfId="871"/>
    <cellStyle name="40% - Accent5 26 2 2" xfId="4449"/>
    <cellStyle name="40% - Accent5 26 2 2 2" xfId="9782"/>
    <cellStyle name="40% - Accent5 26 2 3" xfId="2685"/>
    <cellStyle name="40% - Accent5 26 2 3 2" xfId="8019"/>
    <cellStyle name="40% - Accent5 26 2 4" xfId="6207"/>
    <cellStyle name="40% - Accent5 26 3" xfId="4450"/>
    <cellStyle name="40% - Accent5 26 3 2" xfId="9783"/>
    <cellStyle name="40% - Accent5 26 4" xfId="2684"/>
    <cellStyle name="40% - Accent5 26 4 2" xfId="8018"/>
    <cellStyle name="40% - Accent5 26 5" xfId="5731"/>
    <cellStyle name="40% - Accent5 27" xfId="408"/>
    <cellStyle name="40% - Accent5 27 2" xfId="885"/>
    <cellStyle name="40% - Accent5 27 2 2" xfId="4451"/>
    <cellStyle name="40% - Accent5 27 2 2 2" xfId="9784"/>
    <cellStyle name="40% - Accent5 27 2 3" xfId="2687"/>
    <cellStyle name="40% - Accent5 27 2 3 2" xfId="8021"/>
    <cellStyle name="40% - Accent5 27 2 4" xfId="6221"/>
    <cellStyle name="40% - Accent5 27 3" xfId="4452"/>
    <cellStyle name="40% - Accent5 27 3 2" xfId="9785"/>
    <cellStyle name="40% - Accent5 27 4" xfId="2686"/>
    <cellStyle name="40% - Accent5 27 4 2" xfId="8020"/>
    <cellStyle name="40% - Accent5 27 5" xfId="5745"/>
    <cellStyle name="40% - Accent5 28" xfId="422"/>
    <cellStyle name="40% - Accent5 28 2" xfId="899"/>
    <cellStyle name="40% - Accent5 28 2 2" xfId="4453"/>
    <cellStyle name="40% - Accent5 28 2 2 2" xfId="9786"/>
    <cellStyle name="40% - Accent5 28 2 3" xfId="2689"/>
    <cellStyle name="40% - Accent5 28 2 3 2" xfId="8023"/>
    <cellStyle name="40% - Accent5 28 2 4" xfId="6235"/>
    <cellStyle name="40% - Accent5 28 3" xfId="4454"/>
    <cellStyle name="40% - Accent5 28 3 2" xfId="9787"/>
    <cellStyle name="40% - Accent5 28 4" xfId="2688"/>
    <cellStyle name="40% - Accent5 28 4 2" xfId="8022"/>
    <cellStyle name="40% - Accent5 28 5" xfId="5759"/>
    <cellStyle name="40% - Accent5 29" xfId="436"/>
    <cellStyle name="40% - Accent5 29 2" xfId="913"/>
    <cellStyle name="40% - Accent5 29 2 2" xfId="4455"/>
    <cellStyle name="40% - Accent5 29 2 2 2" xfId="9788"/>
    <cellStyle name="40% - Accent5 29 2 3" xfId="2691"/>
    <cellStyle name="40% - Accent5 29 2 3 2" xfId="8025"/>
    <cellStyle name="40% - Accent5 29 2 4" xfId="6249"/>
    <cellStyle name="40% - Accent5 29 3" xfId="4456"/>
    <cellStyle name="40% - Accent5 29 3 2" xfId="9789"/>
    <cellStyle name="40% - Accent5 29 4" xfId="2690"/>
    <cellStyle name="40% - Accent5 29 4 2" xfId="8024"/>
    <cellStyle name="40% - Accent5 29 5" xfId="5773"/>
    <cellStyle name="40% - Accent5 3" xfId="71"/>
    <cellStyle name="40% - Accent5 3 2" xfId="548"/>
    <cellStyle name="40% - Accent5 3 2 2" xfId="4457"/>
    <cellStyle name="40% - Accent5 3 2 2 2" xfId="9790"/>
    <cellStyle name="40% - Accent5 3 2 3" xfId="2693"/>
    <cellStyle name="40% - Accent5 3 2 3 2" xfId="8027"/>
    <cellStyle name="40% - Accent5 3 2 4" xfId="5885"/>
    <cellStyle name="40% - Accent5 3 3" xfId="4458"/>
    <cellStyle name="40% - Accent5 3 3 2" xfId="9791"/>
    <cellStyle name="40% - Accent5 3 4" xfId="2692"/>
    <cellStyle name="40% - Accent5 3 4 2" xfId="8026"/>
    <cellStyle name="40% - Accent5 3 5" xfId="5409"/>
    <cellStyle name="40% - Accent5 30" xfId="450"/>
    <cellStyle name="40% - Accent5 30 2" xfId="927"/>
    <cellStyle name="40% - Accent5 30 2 2" xfId="4459"/>
    <cellStyle name="40% - Accent5 30 2 2 2" xfId="9792"/>
    <cellStyle name="40% - Accent5 30 2 3" xfId="2695"/>
    <cellStyle name="40% - Accent5 30 2 3 2" xfId="8029"/>
    <cellStyle name="40% - Accent5 30 2 4" xfId="6263"/>
    <cellStyle name="40% - Accent5 30 3" xfId="4460"/>
    <cellStyle name="40% - Accent5 30 3 2" xfId="9793"/>
    <cellStyle name="40% - Accent5 30 4" xfId="2694"/>
    <cellStyle name="40% - Accent5 30 4 2" xfId="8028"/>
    <cellStyle name="40% - Accent5 30 5" xfId="5787"/>
    <cellStyle name="40% - Accent5 31" xfId="464"/>
    <cellStyle name="40% - Accent5 31 2" xfId="941"/>
    <cellStyle name="40% - Accent5 31 2 2" xfId="4461"/>
    <cellStyle name="40% - Accent5 31 2 2 2" xfId="9794"/>
    <cellStyle name="40% - Accent5 31 2 3" xfId="2697"/>
    <cellStyle name="40% - Accent5 31 2 3 2" xfId="8031"/>
    <cellStyle name="40% - Accent5 31 2 4" xfId="6277"/>
    <cellStyle name="40% - Accent5 31 3" xfId="4462"/>
    <cellStyle name="40% - Accent5 31 3 2" xfId="9795"/>
    <cellStyle name="40% - Accent5 31 4" xfId="2696"/>
    <cellStyle name="40% - Accent5 31 4 2" xfId="8030"/>
    <cellStyle name="40% - Accent5 31 5" xfId="5801"/>
    <cellStyle name="40% - Accent5 32" xfId="478"/>
    <cellStyle name="40% - Accent5 32 2" xfId="955"/>
    <cellStyle name="40% - Accent5 32 2 2" xfId="4463"/>
    <cellStyle name="40% - Accent5 32 2 2 2" xfId="9796"/>
    <cellStyle name="40% - Accent5 32 2 3" xfId="2699"/>
    <cellStyle name="40% - Accent5 32 2 3 2" xfId="8033"/>
    <cellStyle name="40% - Accent5 32 2 4" xfId="6291"/>
    <cellStyle name="40% - Accent5 32 3" xfId="4464"/>
    <cellStyle name="40% - Accent5 32 3 2" xfId="9797"/>
    <cellStyle name="40% - Accent5 32 4" xfId="2698"/>
    <cellStyle name="40% - Accent5 32 4 2" xfId="8032"/>
    <cellStyle name="40% - Accent5 32 5" xfId="5815"/>
    <cellStyle name="40% - Accent5 33" xfId="492"/>
    <cellStyle name="40% - Accent5 33 2" xfId="969"/>
    <cellStyle name="40% - Accent5 33 2 2" xfId="4465"/>
    <cellStyle name="40% - Accent5 33 2 2 2" xfId="9798"/>
    <cellStyle name="40% - Accent5 33 2 3" xfId="2701"/>
    <cellStyle name="40% - Accent5 33 2 3 2" xfId="8035"/>
    <cellStyle name="40% - Accent5 33 2 4" xfId="6305"/>
    <cellStyle name="40% - Accent5 33 3" xfId="4466"/>
    <cellStyle name="40% - Accent5 33 3 2" xfId="9799"/>
    <cellStyle name="40% - Accent5 33 4" xfId="2700"/>
    <cellStyle name="40% - Accent5 33 4 2" xfId="8034"/>
    <cellStyle name="40% - Accent5 33 5" xfId="5829"/>
    <cellStyle name="40% - Accent5 34" xfId="506"/>
    <cellStyle name="40% - Accent5 34 2" xfId="983"/>
    <cellStyle name="40% - Accent5 34 2 2" xfId="4467"/>
    <cellStyle name="40% - Accent5 34 2 2 2" xfId="9800"/>
    <cellStyle name="40% - Accent5 34 2 3" xfId="2703"/>
    <cellStyle name="40% - Accent5 34 2 3 2" xfId="8037"/>
    <cellStyle name="40% - Accent5 34 2 4" xfId="6319"/>
    <cellStyle name="40% - Accent5 34 3" xfId="4468"/>
    <cellStyle name="40% - Accent5 34 3 2" xfId="9801"/>
    <cellStyle name="40% - Accent5 34 4" xfId="2702"/>
    <cellStyle name="40% - Accent5 34 4 2" xfId="8036"/>
    <cellStyle name="40% - Accent5 34 5" xfId="5843"/>
    <cellStyle name="40% - Accent5 35" xfId="997"/>
    <cellStyle name="40% - Accent5 35 2" xfId="4469"/>
    <cellStyle name="40% - Accent5 35 2 2" xfId="9802"/>
    <cellStyle name="40% - Accent5 35 3" xfId="2704"/>
    <cellStyle name="40% - Accent5 35 3 2" xfId="8038"/>
    <cellStyle name="40% - Accent5 35 4" xfId="6333"/>
    <cellStyle name="40% - Accent5 36" xfId="1011"/>
    <cellStyle name="40% - Accent5 36 2" xfId="4470"/>
    <cellStyle name="40% - Accent5 36 2 2" xfId="9803"/>
    <cellStyle name="40% - Accent5 36 3" xfId="2705"/>
    <cellStyle name="40% - Accent5 36 3 2" xfId="8039"/>
    <cellStyle name="40% - Accent5 36 4" xfId="6347"/>
    <cellStyle name="40% - Accent5 37" xfId="1025"/>
    <cellStyle name="40% - Accent5 37 2" xfId="4471"/>
    <cellStyle name="40% - Accent5 37 2 2" xfId="9804"/>
    <cellStyle name="40% - Accent5 37 3" xfId="2706"/>
    <cellStyle name="40% - Accent5 37 3 2" xfId="8040"/>
    <cellStyle name="40% - Accent5 37 4" xfId="6361"/>
    <cellStyle name="40% - Accent5 38" xfId="519"/>
    <cellStyle name="40% - Accent5 38 2" xfId="4472"/>
    <cellStyle name="40% - Accent5 38 2 2" xfId="9805"/>
    <cellStyle name="40% - Accent5 38 3" xfId="2707"/>
    <cellStyle name="40% - Accent5 38 3 2" xfId="8041"/>
    <cellStyle name="40% - Accent5 38 4" xfId="5856"/>
    <cellStyle name="40% - Accent5 39" xfId="1039"/>
    <cellStyle name="40% - Accent5 39 2" xfId="4473"/>
    <cellStyle name="40% - Accent5 39 2 2" xfId="9806"/>
    <cellStyle name="40% - Accent5 39 3" xfId="3296"/>
    <cellStyle name="40% - Accent5 39 3 2" xfId="8630"/>
    <cellStyle name="40% - Accent5 39 4" xfId="6375"/>
    <cellStyle name="40% - Accent5 4" xfId="85"/>
    <cellStyle name="40% - Accent5 4 2" xfId="562"/>
    <cellStyle name="40% - Accent5 4 2 2" xfId="4474"/>
    <cellStyle name="40% - Accent5 4 2 2 2" xfId="9807"/>
    <cellStyle name="40% - Accent5 4 2 3" xfId="2709"/>
    <cellStyle name="40% - Accent5 4 2 3 2" xfId="8043"/>
    <cellStyle name="40% - Accent5 4 2 4" xfId="5899"/>
    <cellStyle name="40% - Accent5 4 3" xfId="4475"/>
    <cellStyle name="40% - Accent5 4 3 2" xfId="9808"/>
    <cellStyle name="40% - Accent5 4 4" xfId="2708"/>
    <cellStyle name="40% - Accent5 4 4 2" xfId="8042"/>
    <cellStyle name="40% - Accent5 4 5" xfId="5423"/>
    <cellStyle name="40% - Accent5 40" xfId="1053"/>
    <cellStyle name="40% - Accent5 40 2" xfId="4476"/>
    <cellStyle name="40% - Accent5 40 2 2" xfId="9809"/>
    <cellStyle name="40% - Accent5 40 3" xfId="3297"/>
    <cellStyle name="40% - Accent5 40 3 2" xfId="8631"/>
    <cellStyle name="40% - Accent5 40 4" xfId="6389"/>
    <cellStyle name="40% - Accent5 41" xfId="1067"/>
    <cellStyle name="40% - Accent5 41 2" xfId="4477"/>
    <cellStyle name="40% - Accent5 41 2 2" xfId="9810"/>
    <cellStyle name="40% - Accent5 41 3" xfId="3298"/>
    <cellStyle name="40% - Accent5 41 3 2" xfId="8632"/>
    <cellStyle name="40% - Accent5 41 4" xfId="6403"/>
    <cellStyle name="40% - Accent5 42" xfId="1081"/>
    <cellStyle name="40% - Accent5 42 2" xfId="4478"/>
    <cellStyle name="40% - Accent5 42 2 2" xfId="9811"/>
    <cellStyle name="40% - Accent5 42 3" xfId="3299"/>
    <cellStyle name="40% - Accent5 42 3 2" xfId="8633"/>
    <cellStyle name="40% - Accent5 42 4" xfId="6417"/>
    <cellStyle name="40% - Accent5 43" xfId="1095"/>
    <cellStyle name="40% - Accent5 43 2" xfId="4479"/>
    <cellStyle name="40% - Accent5 43 2 2" xfId="9812"/>
    <cellStyle name="40% - Accent5 43 3" xfId="3300"/>
    <cellStyle name="40% - Accent5 43 3 2" xfId="8634"/>
    <cellStyle name="40% - Accent5 43 4" xfId="6431"/>
    <cellStyle name="40% - Accent5 44" xfId="1109"/>
    <cellStyle name="40% - Accent5 44 2" xfId="4480"/>
    <cellStyle name="40% - Accent5 44 2 2" xfId="9813"/>
    <cellStyle name="40% - Accent5 44 3" xfId="3301"/>
    <cellStyle name="40% - Accent5 44 3 2" xfId="8635"/>
    <cellStyle name="40% - Accent5 44 4" xfId="6445"/>
    <cellStyle name="40% - Accent5 45" xfId="1123"/>
    <cellStyle name="40% - Accent5 45 2" xfId="4481"/>
    <cellStyle name="40% - Accent5 45 2 2" xfId="9814"/>
    <cellStyle name="40% - Accent5 45 3" xfId="3302"/>
    <cellStyle name="40% - Accent5 45 3 2" xfId="8636"/>
    <cellStyle name="40% - Accent5 45 4" xfId="6459"/>
    <cellStyle name="40% - Accent5 46" xfId="1137"/>
    <cellStyle name="40% - Accent5 46 2" xfId="4482"/>
    <cellStyle name="40% - Accent5 46 2 2" xfId="9815"/>
    <cellStyle name="40% - Accent5 46 3" xfId="3303"/>
    <cellStyle name="40% - Accent5 46 3 2" xfId="8637"/>
    <cellStyle name="40% - Accent5 46 4" xfId="6473"/>
    <cellStyle name="40% - Accent5 47" xfId="1151"/>
    <cellStyle name="40% - Accent5 47 2" xfId="4483"/>
    <cellStyle name="40% - Accent5 47 2 2" xfId="9816"/>
    <cellStyle name="40% - Accent5 47 3" xfId="3304"/>
    <cellStyle name="40% - Accent5 47 3 2" xfId="8638"/>
    <cellStyle name="40% - Accent5 47 4" xfId="6487"/>
    <cellStyle name="40% - Accent5 48" xfId="1165"/>
    <cellStyle name="40% - Accent5 48 2" xfId="4484"/>
    <cellStyle name="40% - Accent5 48 2 2" xfId="9817"/>
    <cellStyle name="40% - Accent5 48 3" xfId="3305"/>
    <cellStyle name="40% - Accent5 48 3 2" xfId="8639"/>
    <cellStyle name="40% - Accent5 48 4" xfId="6501"/>
    <cellStyle name="40% - Accent5 49" xfId="1179"/>
    <cellStyle name="40% - Accent5 49 2" xfId="4485"/>
    <cellStyle name="40% - Accent5 49 2 2" xfId="9818"/>
    <cellStyle name="40% - Accent5 49 3" xfId="3306"/>
    <cellStyle name="40% - Accent5 49 3 2" xfId="8640"/>
    <cellStyle name="40% - Accent5 49 4" xfId="6515"/>
    <cellStyle name="40% - Accent5 5" xfId="99"/>
    <cellStyle name="40% - Accent5 5 2" xfId="576"/>
    <cellStyle name="40% - Accent5 5 2 2" xfId="4486"/>
    <cellStyle name="40% - Accent5 5 2 2 2" xfId="9819"/>
    <cellStyle name="40% - Accent5 5 2 3" xfId="2711"/>
    <cellStyle name="40% - Accent5 5 2 3 2" xfId="8045"/>
    <cellStyle name="40% - Accent5 5 2 4" xfId="5913"/>
    <cellStyle name="40% - Accent5 5 3" xfId="4487"/>
    <cellStyle name="40% - Accent5 5 3 2" xfId="9820"/>
    <cellStyle name="40% - Accent5 5 4" xfId="2710"/>
    <cellStyle name="40% - Accent5 5 4 2" xfId="8044"/>
    <cellStyle name="40% - Accent5 5 5" xfId="5437"/>
    <cellStyle name="40% - Accent5 50" xfId="1193"/>
    <cellStyle name="40% - Accent5 50 2" xfId="4488"/>
    <cellStyle name="40% - Accent5 50 2 2" xfId="9821"/>
    <cellStyle name="40% - Accent5 50 3" xfId="3307"/>
    <cellStyle name="40% - Accent5 50 3 2" xfId="8641"/>
    <cellStyle name="40% - Accent5 50 4" xfId="6529"/>
    <cellStyle name="40% - Accent5 51" xfId="1207"/>
    <cellStyle name="40% - Accent5 51 2" xfId="4489"/>
    <cellStyle name="40% - Accent5 51 2 2" xfId="9822"/>
    <cellStyle name="40% - Accent5 51 3" xfId="3308"/>
    <cellStyle name="40% - Accent5 51 3 2" xfId="8642"/>
    <cellStyle name="40% - Accent5 51 4" xfId="6543"/>
    <cellStyle name="40% - Accent5 52" xfId="1221"/>
    <cellStyle name="40% - Accent5 52 2" xfId="4490"/>
    <cellStyle name="40% - Accent5 52 2 2" xfId="9823"/>
    <cellStyle name="40% - Accent5 52 3" xfId="3309"/>
    <cellStyle name="40% - Accent5 52 3 2" xfId="8643"/>
    <cellStyle name="40% - Accent5 52 4" xfId="6557"/>
    <cellStyle name="40% - Accent5 53" xfId="1235"/>
    <cellStyle name="40% - Accent5 53 2" xfId="4491"/>
    <cellStyle name="40% - Accent5 53 2 2" xfId="9824"/>
    <cellStyle name="40% - Accent5 53 3" xfId="3310"/>
    <cellStyle name="40% - Accent5 53 3 2" xfId="8644"/>
    <cellStyle name="40% - Accent5 53 4" xfId="6571"/>
    <cellStyle name="40% - Accent5 54" xfId="1249"/>
    <cellStyle name="40% - Accent5 54 2" xfId="4492"/>
    <cellStyle name="40% - Accent5 54 2 2" xfId="9825"/>
    <cellStyle name="40% - Accent5 54 3" xfId="3311"/>
    <cellStyle name="40% - Accent5 54 3 2" xfId="8645"/>
    <cellStyle name="40% - Accent5 54 4" xfId="6585"/>
    <cellStyle name="40% - Accent5 55" xfId="1263"/>
    <cellStyle name="40% - Accent5 55 2" xfId="4493"/>
    <cellStyle name="40% - Accent5 55 2 2" xfId="9826"/>
    <cellStyle name="40% - Accent5 55 3" xfId="3312"/>
    <cellStyle name="40% - Accent5 55 3 2" xfId="8646"/>
    <cellStyle name="40% - Accent5 55 4" xfId="6599"/>
    <cellStyle name="40% - Accent5 56" xfId="1277"/>
    <cellStyle name="40% - Accent5 56 2" xfId="4494"/>
    <cellStyle name="40% - Accent5 56 2 2" xfId="9827"/>
    <cellStyle name="40% - Accent5 56 3" xfId="3313"/>
    <cellStyle name="40% - Accent5 56 3 2" xfId="8647"/>
    <cellStyle name="40% - Accent5 56 4" xfId="6613"/>
    <cellStyle name="40% - Accent5 57" xfId="1291"/>
    <cellStyle name="40% - Accent5 57 2" xfId="4495"/>
    <cellStyle name="40% - Accent5 57 2 2" xfId="9828"/>
    <cellStyle name="40% - Accent5 57 3" xfId="3314"/>
    <cellStyle name="40% - Accent5 57 3 2" xfId="8648"/>
    <cellStyle name="40% - Accent5 57 4" xfId="6627"/>
    <cellStyle name="40% - Accent5 58" xfId="1305"/>
    <cellStyle name="40% - Accent5 58 2" xfId="4496"/>
    <cellStyle name="40% - Accent5 58 2 2" xfId="9829"/>
    <cellStyle name="40% - Accent5 58 3" xfId="3315"/>
    <cellStyle name="40% - Accent5 58 3 2" xfId="8649"/>
    <cellStyle name="40% - Accent5 58 4" xfId="6641"/>
    <cellStyle name="40% - Accent5 59" xfId="1319"/>
    <cellStyle name="40% - Accent5 59 2" xfId="4497"/>
    <cellStyle name="40% - Accent5 59 2 2" xfId="9830"/>
    <cellStyle name="40% - Accent5 59 3" xfId="3316"/>
    <cellStyle name="40% - Accent5 59 3 2" xfId="8650"/>
    <cellStyle name="40% - Accent5 59 4" xfId="6655"/>
    <cellStyle name="40% - Accent5 6" xfId="113"/>
    <cellStyle name="40% - Accent5 6 2" xfId="590"/>
    <cellStyle name="40% - Accent5 6 2 2" xfId="4498"/>
    <cellStyle name="40% - Accent5 6 2 2 2" xfId="9831"/>
    <cellStyle name="40% - Accent5 6 2 3" xfId="2713"/>
    <cellStyle name="40% - Accent5 6 2 3 2" xfId="8047"/>
    <cellStyle name="40% - Accent5 6 2 4" xfId="5927"/>
    <cellStyle name="40% - Accent5 6 3" xfId="4499"/>
    <cellStyle name="40% - Accent5 6 3 2" xfId="9832"/>
    <cellStyle name="40% - Accent5 6 4" xfId="2712"/>
    <cellStyle name="40% - Accent5 6 4 2" xfId="8046"/>
    <cellStyle name="40% - Accent5 6 5" xfId="5451"/>
    <cellStyle name="40% - Accent5 60" xfId="1333"/>
    <cellStyle name="40% - Accent5 60 2" xfId="4500"/>
    <cellStyle name="40% - Accent5 60 2 2" xfId="9833"/>
    <cellStyle name="40% - Accent5 60 3" xfId="3317"/>
    <cellStyle name="40% - Accent5 60 3 2" xfId="8651"/>
    <cellStyle name="40% - Accent5 60 4" xfId="6669"/>
    <cellStyle name="40% - Accent5 61" xfId="1347"/>
    <cellStyle name="40% - Accent5 61 2" xfId="4501"/>
    <cellStyle name="40% - Accent5 61 2 2" xfId="9834"/>
    <cellStyle name="40% - Accent5 61 3" xfId="3318"/>
    <cellStyle name="40% - Accent5 61 3 2" xfId="8652"/>
    <cellStyle name="40% - Accent5 61 4" xfId="6683"/>
    <cellStyle name="40% - Accent5 62" xfId="1361"/>
    <cellStyle name="40% - Accent5 62 2" xfId="3319"/>
    <cellStyle name="40% - Accent5 62 2 2" xfId="8653"/>
    <cellStyle name="40% - Accent5 62 3" xfId="6697"/>
    <cellStyle name="40% - Accent5 63" xfId="1375"/>
    <cellStyle name="40% - Accent5 63 2" xfId="3320"/>
    <cellStyle name="40% - Accent5 63 2 2" xfId="8654"/>
    <cellStyle name="40% - Accent5 63 3" xfId="6711"/>
    <cellStyle name="40% - Accent5 64" xfId="1389"/>
    <cellStyle name="40% - Accent5 64 2" xfId="3321"/>
    <cellStyle name="40% - Accent5 64 2 2" xfId="8655"/>
    <cellStyle name="40% - Accent5 64 3" xfId="6725"/>
    <cellStyle name="40% - Accent5 65" xfId="1403"/>
    <cellStyle name="40% - Accent5 65 2" xfId="3322"/>
    <cellStyle name="40% - Accent5 65 2 2" xfId="8656"/>
    <cellStyle name="40% - Accent5 65 3" xfId="6739"/>
    <cellStyle name="40% - Accent5 66" xfId="1417"/>
    <cellStyle name="40% - Accent5 66 2" xfId="3323"/>
    <cellStyle name="40% - Accent5 66 2 2" xfId="8657"/>
    <cellStyle name="40% - Accent5 66 3" xfId="6753"/>
    <cellStyle name="40% - Accent5 67" xfId="1431"/>
    <cellStyle name="40% - Accent5 67 2" xfId="3324"/>
    <cellStyle name="40% - Accent5 67 2 2" xfId="8658"/>
    <cellStyle name="40% - Accent5 67 3" xfId="6767"/>
    <cellStyle name="40% - Accent5 68" xfId="1445"/>
    <cellStyle name="40% - Accent5 68 2" xfId="3325"/>
    <cellStyle name="40% - Accent5 68 2 2" xfId="8659"/>
    <cellStyle name="40% - Accent5 68 3" xfId="6781"/>
    <cellStyle name="40% - Accent5 69" xfId="1459"/>
    <cellStyle name="40% - Accent5 69 2" xfId="3326"/>
    <cellStyle name="40% - Accent5 69 2 2" xfId="8660"/>
    <cellStyle name="40% - Accent5 69 3" xfId="6795"/>
    <cellStyle name="40% - Accent5 7" xfId="127"/>
    <cellStyle name="40% - Accent5 7 2" xfId="604"/>
    <cellStyle name="40% - Accent5 7 2 2" xfId="4502"/>
    <cellStyle name="40% - Accent5 7 2 2 2" xfId="9835"/>
    <cellStyle name="40% - Accent5 7 2 3" xfId="2715"/>
    <cellStyle name="40% - Accent5 7 2 3 2" xfId="8049"/>
    <cellStyle name="40% - Accent5 7 2 4" xfId="5941"/>
    <cellStyle name="40% - Accent5 7 3" xfId="4503"/>
    <cellStyle name="40% - Accent5 7 3 2" xfId="9836"/>
    <cellStyle name="40% - Accent5 7 4" xfId="2714"/>
    <cellStyle name="40% - Accent5 7 4 2" xfId="8048"/>
    <cellStyle name="40% - Accent5 7 5" xfId="5465"/>
    <cellStyle name="40% - Accent5 70" xfId="1473"/>
    <cellStyle name="40% - Accent5 70 2" xfId="3327"/>
    <cellStyle name="40% - Accent5 70 2 2" xfId="8661"/>
    <cellStyle name="40% - Accent5 70 3" xfId="6809"/>
    <cellStyle name="40% - Accent5 71" xfId="1487"/>
    <cellStyle name="40% - Accent5 71 2" xfId="3328"/>
    <cellStyle name="40% - Accent5 71 2 2" xfId="8662"/>
    <cellStyle name="40% - Accent5 71 3" xfId="6823"/>
    <cellStyle name="40% - Accent5 72" xfId="1501"/>
    <cellStyle name="40% - Accent5 72 2" xfId="3329"/>
    <cellStyle name="40% - Accent5 72 2 2" xfId="8663"/>
    <cellStyle name="40% - Accent5 72 3" xfId="6837"/>
    <cellStyle name="40% - Accent5 73" xfId="1515"/>
    <cellStyle name="40% - Accent5 73 2" xfId="3330"/>
    <cellStyle name="40% - Accent5 73 2 2" xfId="8664"/>
    <cellStyle name="40% - Accent5 73 3" xfId="6851"/>
    <cellStyle name="40% - Accent5 74" xfId="1529"/>
    <cellStyle name="40% - Accent5 74 2" xfId="3331"/>
    <cellStyle name="40% - Accent5 74 2 2" xfId="8665"/>
    <cellStyle name="40% - Accent5 74 3" xfId="6865"/>
    <cellStyle name="40% - Accent5 75" xfId="1543"/>
    <cellStyle name="40% - Accent5 75 2" xfId="3332"/>
    <cellStyle name="40% - Accent5 75 2 2" xfId="8666"/>
    <cellStyle name="40% - Accent5 75 3" xfId="6879"/>
    <cellStyle name="40% - Accent5 76" xfId="1557"/>
    <cellStyle name="40% - Accent5 76 2" xfId="3472"/>
    <cellStyle name="40% - Accent5 76 2 2" xfId="8806"/>
    <cellStyle name="40% - Accent5 76 3" xfId="6893"/>
    <cellStyle name="40% - Accent5 77" xfId="1571"/>
    <cellStyle name="40% - Accent5 77 2" xfId="3473"/>
    <cellStyle name="40% - Accent5 77 2 2" xfId="8807"/>
    <cellStyle name="40% - Accent5 77 3" xfId="6907"/>
    <cellStyle name="40% - Accent5 78" xfId="1585"/>
    <cellStyle name="40% - Accent5 78 2" xfId="3474"/>
    <cellStyle name="40% - Accent5 78 2 2" xfId="8808"/>
    <cellStyle name="40% - Accent5 78 3" xfId="6921"/>
    <cellStyle name="40% - Accent5 79" xfId="1599"/>
    <cellStyle name="40% - Accent5 79 2" xfId="3475"/>
    <cellStyle name="40% - Accent5 79 2 2" xfId="8809"/>
    <cellStyle name="40% - Accent5 79 3" xfId="6935"/>
    <cellStyle name="40% - Accent5 8" xfId="141"/>
    <cellStyle name="40% - Accent5 8 2" xfId="618"/>
    <cellStyle name="40% - Accent5 8 2 2" xfId="4504"/>
    <cellStyle name="40% - Accent5 8 2 2 2" xfId="9837"/>
    <cellStyle name="40% - Accent5 8 2 3" xfId="2717"/>
    <cellStyle name="40% - Accent5 8 2 3 2" xfId="8051"/>
    <cellStyle name="40% - Accent5 8 2 4" xfId="5955"/>
    <cellStyle name="40% - Accent5 8 3" xfId="4505"/>
    <cellStyle name="40% - Accent5 8 3 2" xfId="9838"/>
    <cellStyle name="40% - Accent5 8 4" xfId="2716"/>
    <cellStyle name="40% - Accent5 8 4 2" xfId="8050"/>
    <cellStyle name="40% - Accent5 8 5" xfId="5479"/>
    <cellStyle name="40% - Accent5 80" xfId="1613"/>
    <cellStyle name="40% - Accent5 80 2" xfId="4844"/>
    <cellStyle name="40% - Accent5 80 2 2" xfId="10177"/>
    <cellStyle name="40% - Accent5 80 3" xfId="6949"/>
    <cellStyle name="40% - Accent5 81" xfId="1627"/>
    <cellStyle name="40% - Accent5 81 2" xfId="4845"/>
    <cellStyle name="40% - Accent5 81 2 2" xfId="10178"/>
    <cellStyle name="40% - Accent5 81 3" xfId="6963"/>
    <cellStyle name="40% - Accent5 82" xfId="1641"/>
    <cellStyle name="40% - Accent5 82 2" xfId="4846"/>
    <cellStyle name="40% - Accent5 82 2 2" xfId="10179"/>
    <cellStyle name="40% - Accent5 82 3" xfId="6977"/>
    <cellStyle name="40% - Accent5 83" xfId="1655"/>
    <cellStyle name="40% - Accent5 83 2" xfId="4847"/>
    <cellStyle name="40% - Accent5 83 2 2" xfId="10180"/>
    <cellStyle name="40% - Accent5 83 3" xfId="6991"/>
    <cellStyle name="40% - Accent5 84" xfId="1669"/>
    <cellStyle name="40% - Accent5 84 2" xfId="4848"/>
    <cellStyle name="40% - Accent5 84 2 2" xfId="10181"/>
    <cellStyle name="40% - Accent5 84 3" xfId="7005"/>
    <cellStyle name="40% - Accent5 85" xfId="1683"/>
    <cellStyle name="40% - Accent5 85 2" xfId="4892"/>
    <cellStyle name="40% - Accent5 85 2 2" xfId="10225"/>
    <cellStyle name="40% - Accent5 85 3" xfId="7019"/>
    <cellStyle name="40% - Accent5 86" xfId="1697"/>
    <cellStyle name="40% - Accent5 86 2" xfId="4893"/>
    <cellStyle name="40% - Accent5 86 2 2" xfId="10226"/>
    <cellStyle name="40% - Accent5 86 3" xfId="7033"/>
    <cellStyle name="40% - Accent5 87" xfId="1711"/>
    <cellStyle name="40% - Accent5 87 2" xfId="4894"/>
    <cellStyle name="40% - Accent5 87 2 2" xfId="10227"/>
    <cellStyle name="40% - Accent5 87 3" xfId="7047"/>
    <cellStyle name="40% - Accent5 88" xfId="1725"/>
    <cellStyle name="40% - Accent5 88 2" xfId="4966"/>
    <cellStyle name="40% - Accent5 88 2 2" xfId="10299"/>
    <cellStyle name="40% - Accent5 88 3" xfId="7061"/>
    <cellStyle name="40% - Accent5 89" xfId="1739"/>
    <cellStyle name="40% - Accent5 89 2" xfId="4967"/>
    <cellStyle name="40% - Accent5 89 2 2" xfId="10300"/>
    <cellStyle name="40% - Accent5 89 3" xfId="7075"/>
    <cellStyle name="40% - Accent5 9" xfId="155"/>
    <cellStyle name="40% - Accent5 9 2" xfId="632"/>
    <cellStyle name="40% - Accent5 9 2 2" xfId="4506"/>
    <cellStyle name="40% - Accent5 9 2 2 2" xfId="9839"/>
    <cellStyle name="40% - Accent5 9 2 3" xfId="2719"/>
    <cellStyle name="40% - Accent5 9 2 3 2" xfId="8053"/>
    <cellStyle name="40% - Accent5 9 2 4" xfId="5969"/>
    <cellStyle name="40% - Accent5 9 3" xfId="4507"/>
    <cellStyle name="40% - Accent5 9 3 2" xfId="9840"/>
    <cellStyle name="40% - Accent5 9 4" xfId="2718"/>
    <cellStyle name="40% - Accent5 9 4 2" xfId="8052"/>
    <cellStyle name="40% - Accent5 9 5" xfId="5493"/>
    <cellStyle name="40% - Accent5 90" xfId="1753"/>
    <cellStyle name="40% - Accent5 90 2" xfId="4968"/>
    <cellStyle name="40% - Accent5 90 2 2" xfId="10301"/>
    <cellStyle name="40% - Accent5 90 3" xfId="7089"/>
    <cellStyle name="40% - Accent5 91" xfId="1767"/>
    <cellStyle name="40% - Accent5 91 2" xfId="4969"/>
    <cellStyle name="40% - Accent5 91 2 2" xfId="10302"/>
    <cellStyle name="40% - Accent5 91 3" xfId="7103"/>
    <cellStyle name="40% - Accent5 92" xfId="1781"/>
    <cellStyle name="40% - Accent5 92 2" xfId="4970"/>
    <cellStyle name="40% - Accent5 92 2 2" xfId="10303"/>
    <cellStyle name="40% - Accent5 92 3" xfId="7117"/>
    <cellStyle name="40% - Accent5 93" xfId="1795"/>
    <cellStyle name="40% - Accent5 93 2" xfId="4971"/>
    <cellStyle name="40% - Accent5 93 2 2" xfId="10304"/>
    <cellStyle name="40% - Accent5 93 3" xfId="7131"/>
    <cellStyle name="40% - Accent5 94" xfId="1809"/>
    <cellStyle name="40% - Accent5 94 2" xfId="5009"/>
    <cellStyle name="40% - Accent5 94 2 2" xfId="10340"/>
    <cellStyle name="40% - Accent5 94 3" xfId="7145"/>
    <cellStyle name="40% - Accent5 95" xfId="1823"/>
    <cellStyle name="40% - Accent5 95 2" xfId="5010"/>
    <cellStyle name="40% - Accent5 95 2 2" xfId="10341"/>
    <cellStyle name="40% - Accent5 95 3" xfId="7159"/>
    <cellStyle name="40% - Accent5 96" xfId="1837"/>
    <cellStyle name="40% - Accent5 96 2" xfId="5058"/>
    <cellStyle name="40% - Accent5 96 2 2" xfId="10389"/>
    <cellStyle name="40% - Accent5 96 3" xfId="7173"/>
    <cellStyle name="40% - Accent5 97" xfId="1851"/>
    <cellStyle name="40% - Accent5 97 2" xfId="5059"/>
    <cellStyle name="40% - Accent5 97 2 2" xfId="10390"/>
    <cellStyle name="40% - Accent5 97 3" xfId="7187"/>
    <cellStyle name="40% - Accent5 98" xfId="1865"/>
    <cellStyle name="40% - Accent5 98 2" xfId="5060"/>
    <cellStyle name="40% - Accent5 98 2 2" xfId="10391"/>
    <cellStyle name="40% - Accent5 98 3" xfId="7201"/>
    <cellStyle name="40% - Accent5 99" xfId="1879"/>
    <cellStyle name="40% - Accent5 99 2" xfId="5061"/>
    <cellStyle name="40% - Accent5 99 2 2" xfId="10392"/>
    <cellStyle name="40% - Accent5 99 3" xfId="7215"/>
    <cellStyle name="40% - Accent6" xfId="12" builtinId="51" customBuiltin="1"/>
    <cellStyle name="40% - Accent6 10" xfId="171"/>
    <cellStyle name="40% - Accent6 10 2" xfId="648"/>
    <cellStyle name="40% - Accent6 10 2 2" xfId="4508"/>
    <cellStyle name="40% - Accent6 10 2 2 2" xfId="9841"/>
    <cellStyle name="40% - Accent6 10 2 3" xfId="2721"/>
    <cellStyle name="40% - Accent6 10 2 3 2" xfId="8055"/>
    <cellStyle name="40% - Accent6 10 2 4" xfId="5985"/>
    <cellStyle name="40% - Accent6 10 3" xfId="4509"/>
    <cellStyle name="40% - Accent6 10 3 2" xfId="9842"/>
    <cellStyle name="40% - Accent6 10 4" xfId="2720"/>
    <cellStyle name="40% - Accent6 10 4 2" xfId="8054"/>
    <cellStyle name="40% - Accent6 10 5" xfId="5509"/>
    <cellStyle name="40% - Accent6 100" xfId="1895"/>
    <cellStyle name="40% - Accent6 100 2" xfId="7231"/>
    <cellStyle name="40% - Accent6 101" xfId="1909"/>
    <cellStyle name="40% - Accent6 101 2" xfId="7245"/>
    <cellStyle name="40% - Accent6 102" xfId="1923"/>
    <cellStyle name="40% - Accent6 102 2" xfId="7259"/>
    <cellStyle name="40% - Accent6 103" xfId="5084"/>
    <cellStyle name="40% - Accent6 103 2" xfId="10415"/>
    <cellStyle name="40% - Accent6 104" xfId="5098"/>
    <cellStyle name="40% - Accent6 104 2" xfId="10429"/>
    <cellStyle name="40% - Accent6 105" xfId="5112"/>
    <cellStyle name="40% - Accent6 105 2" xfId="10443"/>
    <cellStyle name="40% - Accent6 106" xfId="5126"/>
    <cellStyle name="40% - Accent6 106 2" xfId="10457"/>
    <cellStyle name="40% - Accent6 107" xfId="5140"/>
    <cellStyle name="40% - Accent6 107 2" xfId="10471"/>
    <cellStyle name="40% - Accent6 108" xfId="5154"/>
    <cellStyle name="40% - Accent6 108 2" xfId="10485"/>
    <cellStyle name="40% - Accent6 109" xfId="5168"/>
    <cellStyle name="40% - Accent6 109 2" xfId="10499"/>
    <cellStyle name="40% - Accent6 11" xfId="185"/>
    <cellStyle name="40% - Accent6 11 2" xfId="662"/>
    <cellStyle name="40% - Accent6 11 2 2" xfId="4510"/>
    <cellStyle name="40% - Accent6 11 2 2 2" xfId="9843"/>
    <cellStyle name="40% - Accent6 11 2 3" xfId="2723"/>
    <cellStyle name="40% - Accent6 11 2 3 2" xfId="8057"/>
    <cellStyle name="40% - Accent6 11 2 4" xfId="5999"/>
    <cellStyle name="40% - Accent6 11 3" xfId="4511"/>
    <cellStyle name="40% - Accent6 11 3 2" xfId="9844"/>
    <cellStyle name="40% - Accent6 11 4" xfId="2722"/>
    <cellStyle name="40% - Accent6 11 4 2" xfId="8056"/>
    <cellStyle name="40% - Accent6 11 5" xfId="5523"/>
    <cellStyle name="40% - Accent6 110" xfId="5182"/>
    <cellStyle name="40% - Accent6 110 2" xfId="10513"/>
    <cellStyle name="40% - Accent6 111" xfId="5196"/>
    <cellStyle name="40% - Accent6 111 2" xfId="10527"/>
    <cellStyle name="40% - Accent6 112" xfId="5210"/>
    <cellStyle name="40% - Accent6 112 2" xfId="10541"/>
    <cellStyle name="40% - Accent6 113" xfId="5224"/>
    <cellStyle name="40% - Accent6 113 2" xfId="10555"/>
    <cellStyle name="40% - Accent6 114" xfId="5238"/>
    <cellStyle name="40% - Accent6 114 2" xfId="10569"/>
    <cellStyle name="40% - Accent6 115" xfId="5252"/>
    <cellStyle name="40% - Accent6 115 2" xfId="10583"/>
    <cellStyle name="40% - Accent6 116" xfId="5266"/>
    <cellStyle name="40% - Accent6 116 2" xfId="10597"/>
    <cellStyle name="40% - Accent6 117" xfId="5280"/>
    <cellStyle name="40% - Accent6 117 2" xfId="10611"/>
    <cellStyle name="40% - Accent6 118" xfId="5294"/>
    <cellStyle name="40% - Accent6 118 2" xfId="10625"/>
    <cellStyle name="40% - Accent6 119" xfId="5308"/>
    <cellStyle name="40% - Accent6 119 2" xfId="10639"/>
    <cellStyle name="40% - Accent6 12" xfId="199"/>
    <cellStyle name="40% - Accent6 12 2" xfId="676"/>
    <cellStyle name="40% - Accent6 12 2 2" xfId="4512"/>
    <cellStyle name="40% - Accent6 12 2 2 2" xfId="9845"/>
    <cellStyle name="40% - Accent6 12 2 3" xfId="2725"/>
    <cellStyle name="40% - Accent6 12 2 3 2" xfId="8059"/>
    <cellStyle name="40% - Accent6 12 2 4" xfId="6013"/>
    <cellStyle name="40% - Accent6 12 3" xfId="4513"/>
    <cellStyle name="40% - Accent6 12 3 2" xfId="9846"/>
    <cellStyle name="40% - Accent6 12 4" xfId="2724"/>
    <cellStyle name="40% - Accent6 12 4 2" xfId="8058"/>
    <cellStyle name="40% - Accent6 12 5" xfId="5537"/>
    <cellStyle name="40% - Accent6 120" xfId="5322"/>
    <cellStyle name="40% - Accent6 120 2" xfId="10653"/>
    <cellStyle name="40% - Accent6 121" xfId="5336"/>
    <cellStyle name="40% - Accent6 121 2" xfId="10667"/>
    <cellStyle name="40% - Accent6 122" xfId="5350"/>
    <cellStyle name="40% - Accent6 122 2" xfId="10681"/>
    <cellStyle name="40% - Accent6 123" xfId="5369"/>
    <cellStyle name="40% - Accent6 123 2" xfId="10698"/>
    <cellStyle name="40% - Accent6 124" xfId="10712"/>
    <cellStyle name="40% - Accent6 125" xfId="5381"/>
    <cellStyle name="40% - Accent6 126" xfId="10726"/>
    <cellStyle name="40% - Accent6 127" xfId="10740"/>
    <cellStyle name="40% - Accent6 128" xfId="10754"/>
    <cellStyle name="40% - Accent6 129" xfId="10768"/>
    <cellStyle name="40% - Accent6 13" xfId="213"/>
    <cellStyle name="40% - Accent6 13 2" xfId="690"/>
    <cellStyle name="40% - Accent6 13 2 2" xfId="4514"/>
    <cellStyle name="40% - Accent6 13 2 2 2" xfId="9847"/>
    <cellStyle name="40% - Accent6 13 2 3" xfId="2727"/>
    <cellStyle name="40% - Accent6 13 2 3 2" xfId="8061"/>
    <cellStyle name="40% - Accent6 13 2 4" xfId="6027"/>
    <cellStyle name="40% - Accent6 13 3" xfId="4515"/>
    <cellStyle name="40% - Accent6 13 3 2" xfId="9848"/>
    <cellStyle name="40% - Accent6 13 4" xfId="2726"/>
    <cellStyle name="40% - Accent6 13 4 2" xfId="8060"/>
    <cellStyle name="40% - Accent6 13 5" xfId="5551"/>
    <cellStyle name="40% - Accent6 130" xfId="10782"/>
    <cellStyle name="40% - Accent6 131" xfId="10797"/>
    <cellStyle name="40% - Accent6 132" xfId="10811"/>
    <cellStyle name="40% - Accent6 133" xfId="10825"/>
    <cellStyle name="40% - Accent6 134" xfId="10839"/>
    <cellStyle name="40% - Accent6 135" xfId="10853"/>
    <cellStyle name="40% - Accent6 136" xfId="10867"/>
    <cellStyle name="40% - Accent6 137" xfId="10881"/>
    <cellStyle name="40% - Accent6 138" xfId="10895"/>
    <cellStyle name="40% - Accent6 139" xfId="10909"/>
    <cellStyle name="40% - Accent6 14" xfId="227"/>
    <cellStyle name="40% - Accent6 14 2" xfId="704"/>
    <cellStyle name="40% - Accent6 14 2 2" xfId="4516"/>
    <cellStyle name="40% - Accent6 14 2 2 2" xfId="9849"/>
    <cellStyle name="40% - Accent6 14 2 3" xfId="2729"/>
    <cellStyle name="40% - Accent6 14 2 3 2" xfId="8063"/>
    <cellStyle name="40% - Accent6 14 2 4" xfId="6041"/>
    <cellStyle name="40% - Accent6 14 3" xfId="4517"/>
    <cellStyle name="40% - Accent6 14 3 2" xfId="9850"/>
    <cellStyle name="40% - Accent6 14 4" xfId="2728"/>
    <cellStyle name="40% - Accent6 14 4 2" xfId="8062"/>
    <cellStyle name="40% - Accent6 14 5" xfId="5565"/>
    <cellStyle name="40% - Accent6 140" xfId="10923"/>
    <cellStyle name="40% - Accent6 141" xfId="10937"/>
    <cellStyle name="40% - Accent6 142" xfId="10951"/>
    <cellStyle name="40% - Accent6 143" xfId="10965"/>
    <cellStyle name="40% - Accent6 144" xfId="10979"/>
    <cellStyle name="40% - Accent6 145" xfId="10993"/>
    <cellStyle name="40% - Accent6 146" xfId="11007"/>
    <cellStyle name="40% - Accent6 147" xfId="11021"/>
    <cellStyle name="40% - Accent6 148" xfId="11035"/>
    <cellStyle name="40% - Accent6 149" xfId="11049"/>
    <cellStyle name="40% - Accent6 15" xfId="241"/>
    <cellStyle name="40% - Accent6 15 2" xfId="718"/>
    <cellStyle name="40% - Accent6 15 2 2" xfId="4518"/>
    <cellStyle name="40% - Accent6 15 2 2 2" xfId="9851"/>
    <cellStyle name="40% - Accent6 15 2 3" xfId="2731"/>
    <cellStyle name="40% - Accent6 15 2 3 2" xfId="8065"/>
    <cellStyle name="40% - Accent6 15 2 4" xfId="6055"/>
    <cellStyle name="40% - Accent6 15 3" xfId="4519"/>
    <cellStyle name="40% - Accent6 15 3 2" xfId="9852"/>
    <cellStyle name="40% - Accent6 15 4" xfId="2730"/>
    <cellStyle name="40% - Accent6 15 4 2" xfId="8064"/>
    <cellStyle name="40% - Accent6 15 5" xfId="5579"/>
    <cellStyle name="40% - Accent6 150" xfId="11063"/>
    <cellStyle name="40% - Accent6 16" xfId="255"/>
    <cellStyle name="40% - Accent6 16 2" xfId="732"/>
    <cellStyle name="40% - Accent6 16 2 2" xfId="4520"/>
    <cellStyle name="40% - Accent6 16 2 2 2" xfId="9853"/>
    <cellStyle name="40% - Accent6 16 2 3" xfId="2733"/>
    <cellStyle name="40% - Accent6 16 2 3 2" xfId="8067"/>
    <cellStyle name="40% - Accent6 16 2 4" xfId="6069"/>
    <cellStyle name="40% - Accent6 16 3" xfId="4521"/>
    <cellStyle name="40% - Accent6 16 3 2" xfId="9854"/>
    <cellStyle name="40% - Accent6 16 4" xfId="2732"/>
    <cellStyle name="40% - Accent6 16 4 2" xfId="8066"/>
    <cellStyle name="40% - Accent6 16 5" xfId="5593"/>
    <cellStyle name="40% - Accent6 17" xfId="269"/>
    <cellStyle name="40% - Accent6 17 2" xfId="746"/>
    <cellStyle name="40% - Accent6 17 2 2" xfId="4522"/>
    <cellStyle name="40% - Accent6 17 2 2 2" xfId="9855"/>
    <cellStyle name="40% - Accent6 17 2 3" xfId="2735"/>
    <cellStyle name="40% - Accent6 17 2 3 2" xfId="8069"/>
    <cellStyle name="40% - Accent6 17 2 4" xfId="6083"/>
    <cellStyle name="40% - Accent6 17 3" xfId="4523"/>
    <cellStyle name="40% - Accent6 17 3 2" xfId="9856"/>
    <cellStyle name="40% - Accent6 17 4" xfId="2734"/>
    <cellStyle name="40% - Accent6 17 4 2" xfId="8068"/>
    <cellStyle name="40% - Accent6 17 5" xfId="5607"/>
    <cellStyle name="40% - Accent6 18" xfId="283"/>
    <cellStyle name="40% - Accent6 18 2" xfId="760"/>
    <cellStyle name="40% - Accent6 18 2 2" xfId="4524"/>
    <cellStyle name="40% - Accent6 18 2 2 2" xfId="9857"/>
    <cellStyle name="40% - Accent6 18 2 3" xfId="2737"/>
    <cellStyle name="40% - Accent6 18 2 3 2" xfId="8071"/>
    <cellStyle name="40% - Accent6 18 2 4" xfId="6097"/>
    <cellStyle name="40% - Accent6 18 3" xfId="4525"/>
    <cellStyle name="40% - Accent6 18 3 2" xfId="9858"/>
    <cellStyle name="40% - Accent6 18 4" xfId="2736"/>
    <cellStyle name="40% - Accent6 18 4 2" xfId="8070"/>
    <cellStyle name="40% - Accent6 18 5" xfId="5621"/>
    <cellStyle name="40% - Accent6 19" xfId="297"/>
    <cellStyle name="40% - Accent6 19 2" xfId="774"/>
    <cellStyle name="40% - Accent6 19 2 2" xfId="4526"/>
    <cellStyle name="40% - Accent6 19 2 2 2" xfId="9859"/>
    <cellStyle name="40% - Accent6 19 2 3" xfId="2739"/>
    <cellStyle name="40% - Accent6 19 2 3 2" xfId="8073"/>
    <cellStyle name="40% - Accent6 19 2 4" xfId="6111"/>
    <cellStyle name="40% - Accent6 19 3" xfId="4527"/>
    <cellStyle name="40% - Accent6 19 3 2" xfId="9860"/>
    <cellStyle name="40% - Accent6 19 4" xfId="2738"/>
    <cellStyle name="40% - Accent6 19 4 2" xfId="8072"/>
    <cellStyle name="40% - Accent6 19 5" xfId="5635"/>
    <cellStyle name="40% - Accent6 2" xfId="59"/>
    <cellStyle name="40% - Accent6 2 2" xfId="536"/>
    <cellStyle name="40% - Accent6 2 2 2" xfId="4528"/>
    <cellStyle name="40% - Accent6 2 2 2 2" xfId="9861"/>
    <cellStyle name="40% - Accent6 2 2 3" xfId="2741"/>
    <cellStyle name="40% - Accent6 2 2 3 2" xfId="8075"/>
    <cellStyle name="40% - Accent6 2 2 4" xfId="5873"/>
    <cellStyle name="40% - Accent6 2 3" xfId="4529"/>
    <cellStyle name="40% - Accent6 2 3 2" xfId="9862"/>
    <cellStyle name="40% - Accent6 2 4" xfId="2740"/>
    <cellStyle name="40% - Accent6 2 4 2" xfId="8074"/>
    <cellStyle name="40% - Accent6 2 5" xfId="5397"/>
    <cellStyle name="40% - Accent6 20" xfId="311"/>
    <cellStyle name="40% - Accent6 20 2" xfId="788"/>
    <cellStyle name="40% - Accent6 20 2 2" xfId="4530"/>
    <cellStyle name="40% - Accent6 20 2 2 2" xfId="9863"/>
    <cellStyle name="40% - Accent6 20 2 3" xfId="2743"/>
    <cellStyle name="40% - Accent6 20 2 3 2" xfId="8077"/>
    <cellStyle name="40% - Accent6 20 2 4" xfId="6125"/>
    <cellStyle name="40% - Accent6 20 3" xfId="4531"/>
    <cellStyle name="40% - Accent6 20 3 2" xfId="9864"/>
    <cellStyle name="40% - Accent6 20 4" xfId="2742"/>
    <cellStyle name="40% - Accent6 20 4 2" xfId="8076"/>
    <cellStyle name="40% - Accent6 20 5" xfId="5649"/>
    <cellStyle name="40% - Accent6 21" xfId="326"/>
    <cellStyle name="40% - Accent6 21 2" xfId="803"/>
    <cellStyle name="40% - Accent6 21 2 2" xfId="4532"/>
    <cellStyle name="40% - Accent6 21 2 2 2" xfId="9865"/>
    <cellStyle name="40% - Accent6 21 2 3" xfId="2745"/>
    <cellStyle name="40% - Accent6 21 2 3 2" xfId="8079"/>
    <cellStyle name="40% - Accent6 21 2 4" xfId="6139"/>
    <cellStyle name="40% - Accent6 21 3" xfId="4533"/>
    <cellStyle name="40% - Accent6 21 3 2" xfId="9866"/>
    <cellStyle name="40% - Accent6 21 4" xfId="2744"/>
    <cellStyle name="40% - Accent6 21 4 2" xfId="8078"/>
    <cellStyle name="40% - Accent6 21 5" xfId="5663"/>
    <cellStyle name="40% - Accent6 22" xfId="340"/>
    <cellStyle name="40% - Accent6 22 2" xfId="817"/>
    <cellStyle name="40% - Accent6 22 2 2" xfId="4534"/>
    <cellStyle name="40% - Accent6 22 2 2 2" xfId="9867"/>
    <cellStyle name="40% - Accent6 22 2 3" xfId="2747"/>
    <cellStyle name="40% - Accent6 22 2 3 2" xfId="8081"/>
    <cellStyle name="40% - Accent6 22 2 4" xfId="6153"/>
    <cellStyle name="40% - Accent6 22 3" xfId="4535"/>
    <cellStyle name="40% - Accent6 22 3 2" xfId="9868"/>
    <cellStyle name="40% - Accent6 22 4" xfId="2746"/>
    <cellStyle name="40% - Accent6 22 4 2" xfId="8080"/>
    <cellStyle name="40% - Accent6 22 5" xfId="5677"/>
    <cellStyle name="40% - Accent6 23" xfId="354"/>
    <cellStyle name="40% - Accent6 23 2" xfId="831"/>
    <cellStyle name="40% - Accent6 23 2 2" xfId="4536"/>
    <cellStyle name="40% - Accent6 23 2 2 2" xfId="9869"/>
    <cellStyle name="40% - Accent6 23 2 3" xfId="2749"/>
    <cellStyle name="40% - Accent6 23 2 3 2" xfId="8083"/>
    <cellStyle name="40% - Accent6 23 2 4" xfId="6167"/>
    <cellStyle name="40% - Accent6 23 3" xfId="4537"/>
    <cellStyle name="40% - Accent6 23 3 2" xfId="9870"/>
    <cellStyle name="40% - Accent6 23 4" xfId="2748"/>
    <cellStyle name="40% - Accent6 23 4 2" xfId="8082"/>
    <cellStyle name="40% - Accent6 23 5" xfId="5691"/>
    <cellStyle name="40% - Accent6 24" xfId="368"/>
    <cellStyle name="40% - Accent6 24 2" xfId="845"/>
    <cellStyle name="40% - Accent6 24 2 2" xfId="4538"/>
    <cellStyle name="40% - Accent6 24 2 2 2" xfId="9871"/>
    <cellStyle name="40% - Accent6 24 2 3" xfId="2751"/>
    <cellStyle name="40% - Accent6 24 2 3 2" xfId="8085"/>
    <cellStyle name="40% - Accent6 24 2 4" xfId="6181"/>
    <cellStyle name="40% - Accent6 24 3" xfId="4539"/>
    <cellStyle name="40% - Accent6 24 3 2" xfId="9872"/>
    <cellStyle name="40% - Accent6 24 4" xfId="2750"/>
    <cellStyle name="40% - Accent6 24 4 2" xfId="8084"/>
    <cellStyle name="40% - Accent6 24 5" xfId="5705"/>
    <cellStyle name="40% - Accent6 25" xfId="382"/>
    <cellStyle name="40% - Accent6 25 2" xfId="859"/>
    <cellStyle name="40% - Accent6 25 2 2" xfId="4540"/>
    <cellStyle name="40% - Accent6 25 2 2 2" xfId="9873"/>
    <cellStyle name="40% - Accent6 25 2 3" xfId="2753"/>
    <cellStyle name="40% - Accent6 25 2 3 2" xfId="8087"/>
    <cellStyle name="40% - Accent6 25 2 4" xfId="6195"/>
    <cellStyle name="40% - Accent6 25 3" xfId="4541"/>
    <cellStyle name="40% - Accent6 25 3 2" xfId="9874"/>
    <cellStyle name="40% - Accent6 25 4" xfId="2752"/>
    <cellStyle name="40% - Accent6 25 4 2" xfId="8086"/>
    <cellStyle name="40% - Accent6 25 5" xfId="5719"/>
    <cellStyle name="40% - Accent6 26" xfId="396"/>
    <cellStyle name="40% - Accent6 26 2" xfId="873"/>
    <cellStyle name="40% - Accent6 26 2 2" xfId="4542"/>
    <cellStyle name="40% - Accent6 26 2 2 2" xfId="9875"/>
    <cellStyle name="40% - Accent6 26 2 3" xfId="2755"/>
    <cellStyle name="40% - Accent6 26 2 3 2" xfId="8089"/>
    <cellStyle name="40% - Accent6 26 2 4" xfId="6209"/>
    <cellStyle name="40% - Accent6 26 3" xfId="4543"/>
    <cellStyle name="40% - Accent6 26 3 2" xfId="9876"/>
    <cellStyle name="40% - Accent6 26 4" xfId="2754"/>
    <cellStyle name="40% - Accent6 26 4 2" xfId="8088"/>
    <cellStyle name="40% - Accent6 26 5" xfId="5733"/>
    <cellStyle name="40% - Accent6 27" xfId="410"/>
    <cellStyle name="40% - Accent6 27 2" xfId="887"/>
    <cellStyle name="40% - Accent6 27 2 2" xfId="4544"/>
    <cellStyle name="40% - Accent6 27 2 2 2" xfId="9877"/>
    <cellStyle name="40% - Accent6 27 2 3" xfId="2757"/>
    <cellStyle name="40% - Accent6 27 2 3 2" xfId="8091"/>
    <cellStyle name="40% - Accent6 27 2 4" xfId="6223"/>
    <cellStyle name="40% - Accent6 27 3" xfId="4545"/>
    <cellStyle name="40% - Accent6 27 3 2" xfId="9878"/>
    <cellStyle name="40% - Accent6 27 4" xfId="2756"/>
    <cellStyle name="40% - Accent6 27 4 2" xfId="8090"/>
    <cellStyle name="40% - Accent6 27 5" xfId="5747"/>
    <cellStyle name="40% - Accent6 28" xfId="424"/>
    <cellStyle name="40% - Accent6 28 2" xfId="901"/>
    <cellStyle name="40% - Accent6 28 2 2" xfId="4546"/>
    <cellStyle name="40% - Accent6 28 2 2 2" xfId="9879"/>
    <cellStyle name="40% - Accent6 28 2 3" xfId="2759"/>
    <cellStyle name="40% - Accent6 28 2 3 2" xfId="8093"/>
    <cellStyle name="40% - Accent6 28 2 4" xfId="6237"/>
    <cellStyle name="40% - Accent6 28 3" xfId="4547"/>
    <cellStyle name="40% - Accent6 28 3 2" xfId="9880"/>
    <cellStyle name="40% - Accent6 28 4" xfId="2758"/>
    <cellStyle name="40% - Accent6 28 4 2" xfId="8092"/>
    <cellStyle name="40% - Accent6 28 5" xfId="5761"/>
    <cellStyle name="40% - Accent6 29" xfId="438"/>
    <cellStyle name="40% - Accent6 29 2" xfId="915"/>
    <cellStyle name="40% - Accent6 29 2 2" xfId="4548"/>
    <cellStyle name="40% - Accent6 29 2 2 2" xfId="9881"/>
    <cellStyle name="40% - Accent6 29 2 3" xfId="2761"/>
    <cellStyle name="40% - Accent6 29 2 3 2" xfId="8095"/>
    <cellStyle name="40% - Accent6 29 2 4" xfId="6251"/>
    <cellStyle name="40% - Accent6 29 3" xfId="4549"/>
    <cellStyle name="40% - Accent6 29 3 2" xfId="9882"/>
    <cellStyle name="40% - Accent6 29 4" xfId="2760"/>
    <cellStyle name="40% - Accent6 29 4 2" xfId="8094"/>
    <cellStyle name="40% - Accent6 29 5" xfId="5775"/>
    <cellStyle name="40% - Accent6 3" xfId="73"/>
    <cellStyle name="40% - Accent6 3 2" xfId="550"/>
    <cellStyle name="40% - Accent6 3 2 2" xfId="4550"/>
    <cellStyle name="40% - Accent6 3 2 2 2" xfId="9883"/>
    <cellStyle name="40% - Accent6 3 2 3" xfId="2763"/>
    <cellStyle name="40% - Accent6 3 2 3 2" xfId="8097"/>
    <cellStyle name="40% - Accent6 3 2 4" xfId="5887"/>
    <cellStyle name="40% - Accent6 3 3" xfId="4551"/>
    <cellStyle name="40% - Accent6 3 3 2" xfId="9884"/>
    <cellStyle name="40% - Accent6 3 4" xfId="2762"/>
    <cellStyle name="40% - Accent6 3 4 2" xfId="8096"/>
    <cellStyle name="40% - Accent6 3 5" xfId="5411"/>
    <cellStyle name="40% - Accent6 30" xfId="452"/>
    <cellStyle name="40% - Accent6 30 2" xfId="929"/>
    <cellStyle name="40% - Accent6 30 2 2" xfId="4552"/>
    <cellStyle name="40% - Accent6 30 2 2 2" xfId="9885"/>
    <cellStyle name="40% - Accent6 30 2 3" xfId="2765"/>
    <cellStyle name="40% - Accent6 30 2 3 2" xfId="8099"/>
    <cellStyle name="40% - Accent6 30 2 4" xfId="6265"/>
    <cellStyle name="40% - Accent6 30 3" xfId="4553"/>
    <cellStyle name="40% - Accent6 30 3 2" xfId="9886"/>
    <cellStyle name="40% - Accent6 30 4" xfId="2764"/>
    <cellStyle name="40% - Accent6 30 4 2" xfId="8098"/>
    <cellStyle name="40% - Accent6 30 5" xfId="5789"/>
    <cellStyle name="40% - Accent6 31" xfId="466"/>
    <cellStyle name="40% - Accent6 31 2" xfId="943"/>
    <cellStyle name="40% - Accent6 31 2 2" xfId="4554"/>
    <cellStyle name="40% - Accent6 31 2 2 2" xfId="9887"/>
    <cellStyle name="40% - Accent6 31 2 3" xfId="2767"/>
    <cellStyle name="40% - Accent6 31 2 3 2" xfId="8101"/>
    <cellStyle name="40% - Accent6 31 2 4" xfId="6279"/>
    <cellStyle name="40% - Accent6 31 3" xfId="4555"/>
    <cellStyle name="40% - Accent6 31 3 2" xfId="9888"/>
    <cellStyle name="40% - Accent6 31 4" xfId="2766"/>
    <cellStyle name="40% - Accent6 31 4 2" xfId="8100"/>
    <cellStyle name="40% - Accent6 31 5" xfId="5803"/>
    <cellStyle name="40% - Accent6 32" xfId="480"/>
    <cellStyle name="40% - Accent6 32 2" xfId="957"/>
    <cellStyle name="40% - Accent6 32 2 2" xfId="4556"/>
    <cellStyle name="40% - Accent6 32 2 2 2" xfId="9889"/>
    <cellStyle name="40% - Accent6 32 2 3" xfId="2769"/>
    <cellStyle name="40% - Accent6 32 2 3 2" xfId="8103"/>
    <cellStyle name="40% - Accent6 32 2 4" xfId="6293"/>
    <cellStyle name="40% - Accent6 32 3" xfId="4557"/>
    <cellStyle name="40% - Accent6 32 3 2" xfId="9890"/>
    <cellStyle name="40% - Accent6 32 4" xfId="2768"/>
    <cellStyle name="40% - Accent6 32 4 2" xfId="8102"/>
    <cellStyle name="40% - Accent6 32 5" xfId="5817"/>
    <cellStyle name="40% - Accent6 33" xfId="494"/>
    <cellStyle name="40% - Accent6 33 2" xfId="971"/>
    <cellStyle name="40% - Accent6 33 2 2" xfId="4558"/>
    <cellStyle name="40% - Accent6 33 2 2 2" xfId="9891"/>
    <cellStyle name="40% - Accent6 33 2 3" xfId="2771"/>
    <cellStyle name="40% - Accent6 33 2 3 2" xfId="8105"/>
    <cellStyle name="40% - Accent6 33 2 4" xfId="6307"/>
    <cellStyle name="40% - Accent6 33 3" xfId="4559"/>
    <cellStyle name="40% - Accent6 33 3 2" xfId="9892"/>
    <cellStyle name="40% - Accent6 33 4" xfId="2770"/>
    <cellStyle name="40% - Accent6 33 4 2" xfId="8104"/>
    <cellStyle name="40% - Accent6 33 5" xfId="5831"/>
    <cellStyle name="40% - Accent6 34" xfId="508"/>
    <cellStyle name="40% - Accent6 34 2" xfId="985"/>
    <cellStyle name="40% - Accent6 34 2 2" xfId="4560"/>
    <cellStyle name="40% - Accent6 34 2 2 2" xfId="9893"/>
    <cellStyle name="40% - Accent6 34 2 3" xfId="2773"/>
    <cellStyle name="40% - Accent6 34 2 3 2" xfId="8107"/>
    <cellStyle name="40% - Accent6 34 2 4" xfId="6321"/>
    <cellStyle name="40% - Accent6 34 3" xfId="4561"/>
    <cellStyle name="40% - Accent6 34 3 2" xfId="9894"/>
    <cellStyle name="40% - Accent6 34 4" xfId="2772"/>
    <cellStyle name="40% - Accent6 34 4 2" xfId="8106"/>
    <cellStyle name="40% - Accent6 34 5" xfId="5845"/>
    <cellStyle name="40% - Accent6 35" xfId="999"/>
    <cellStyle name="40% - Accent6 35 2" xfId="4562"/>
    <cellStyle name="40% - Accent6 35 2 2" xfId="9895"/>
    <cellStyle name="40% - Accent6 35 3" xfId="2774"/>
    <cellStyle name="40% - Accent6 35 3 2" xfId="8108"/>
    <cellStyle name="40% - Accent6 35 4" xfId="6335"/>
    <cellStyle name="40% - Accent6 36" xfId="1013"/>
    <cellStyle name="40% - Accent6 36 2" xfId="4563"/>
    <cellStyle name="40% - Accent6 36 2 2" xfId="9896"/>
    <cellStyle name="40% - Accent6 36 3" xfId="2775"/>
    <cellStyle name="40% - Accent6 36 3 2" xfId="8109"/>
    <cellStyle name="40% - Accent6 36 4" xfId="6349"/>
    <cellStyle name="40% - Accent6 37" xfId="1027"/>
    <cellStyle name="40% - Accent6 37 2" xfId="4564"/>
    <cellStyle name="40% - Accent6 37 2 2" xfId="9897"/>
    <cellStyle name="40% - Accent6 37 3" xfId="2776"/>
    <cellStyle name="40% - Accent6 37 3 2" xfId="8110"/>
    <cellStyle name="40% - Accent6 37 4" xfId="6363"/>
    <cellStyle name="40% - Accent6 38" xfId="520"/>
    <cellStyle name="40% - Accent6 38 2" xfId="4565"/>
    <cellStyle name="40% - Accent6 38 2 2" xfId="9898"/>
    <cellStyle name="40% - Accent6 38 3" xfId="2777"/>
    <cellStyle name="40% - Accent6 38 3 2" xfId="8111"/>
    <cellStyle name="40% - Accent6 38 4" xfId="5857"/>
    <cellStyle name="40% - Accent6 39" xfId="1041"/>
    <cellStyle name="40% - Accent6 39 2" xfId="4566"/>
    <cellStyle name="40% - Accent6 39 2 2" xfId="9899"/>
    <cellStyle name="40% - Accent6 39 3" xfId="3333"/>
    <cellStyle name="40% - Accent6 39 3 2" xfId="8667"/>
    <cellStyle name="40% - Accent6 39 4" xfId="6377"/>
    <cellStyle name="40% - Accent6 4" xfId="87"/>
    <cellStyle name="40% - Accent6 4 2" xfId="564"/>
    <cellStyle name="40% - Accent6 4 2 2" xfId="4567"/>
    <cellStyle name="40% - Accent6 4 2 2 2" xfId="9900"/>
    <cellStyle name="40% - Accent6 4 2 3" xfId="2779"/>
    <cellStyle name="40% - Accent6 4 2 3 2" xfId="8113"/>
    <cellStyle name="40% - Accent6 4 2 4" xfId="5901"/>
    <cellStyle name="40% - Accent6 4 3" xfId="4568"/>
    <cellStyle name="40% - Accent6 4 3 2" xfId="9901"/>
    <cellStyle name="40% - Accent6 4 4" xfId="2778"/>
    <cellStyle name="40% - Accent6 4 4 2" xfId="8112"/>
    <cellStyle name="40% - Accent6 4 5" xfId="5425"/>
    <cellStyle name="40% - Accent6 40" xfId="1055"/>
    <cellStyle name="40% - Accent6 40 2" xfId="4569"/>
    <cellStyle name="40% - Accent6 40 2 2" xfId="9902"/>
    <cellStyle name="40% - Accent6 40 3" xfId="3334"/>
    <cellStyle name="40% - Accent6 40 3 2" xfId="8668"/>
    <cellStyle name="40% - Accent6 40 4" xfId="6391"/>
    <cellStyle name="40% - Accent6 41" xfId="1069"/>
    <cellStyle name="40% - Accent6 41 2" xfId="4570"/>
    <cellStyle name="40% - Accent6 41 2 2" xfId="9903"/>
    <cellStyle name="40% - Accent6 41 3" xfId="3335"/>
    <cellStyle name="40% - Accent6 41 3 2" xfId="8669"/>
    <cellStyle name="40% - Accent6 41 4" xfId="6405"/>
    <cellStyle name="40% - Accent6 42" xfId="1083"/>
    <cellStyle name="40% - Accent6 42 2" xfId="4571"/>
    <cellStyle name="40% - Accent6 42 2 2" xfId="9904"/>
    <cellStyle name="40% - Accent6 42 3" xfId="3336"/>
    <cellStyle name="40% - Accent6 42 3 2" xfId="8670"/>
    <cellStyle name="40% - Accent6 42 4" xfId="6419"/>
    <cellStyle name="40% - Accent6 43" xfId="1097"/>
    <cellStyle name="40% - Accent6 43 2" xfId="4572"/>
    <cellStyle name="40% - Accent6 43 2 2" xfId="9905"/>
    <cellStyle name="40% - Accent6 43 3" xfId="3337"/>
    <cellStyle name="40% - Accent6 43 3 2" xfId="8671"/>
    <cellStyle name="40% - Accent6 43 4" xfId="6433"/>
    <cellStyle name="40% - Accent6 44" xfId="1111"/>
    <cellStyle name="40% - Accent6 44 2" xfId="4573"/>
    <cellStyle name="40% - Accent6 44 2 2" xfId="9906"/>
    <cellStyle name="40% - Accent6 44 3" xfId="3338"/>
    <cellStyle name="40% - Accent6 44 3 2" xfId="8672"/>
    <cellStyle name="40% - Accent6 44 4" xfId="6447"/>
    <cellStyle name="40% - Accent6 45" xfId="1125"/>
    <cellStyle name="40% - Accent6 45 2" xfId="4574"/>
    <cellStyle name="40% - Accent6 45 2 2" xfId="9907"/>
    <cellStyle name="40% - Accent6 45 3" xfId="3339"/>
    <cellStyle name="40% - Accent6 45 3 2" xfId="8673"/>
    <cellStyle name="40% - Accent6 45 4" xfId="6461"/>
    <cellStyle name="40% - Accent6 46" xfId="1139"/>
    <cellStyle name="40% - Accent6 46 2" xfId="4575"/>
    <cellStyle name="40% - Accent6 46 2 2" xfId="9908"/>
    <cellStyle name="40% - Accent6 46 3" xfId="3340"/>
    <cellStyle name="40% - Accent6 46 3 2" xfId="8674"/>
    <cellStyle name="40% - Accent6 46 4" xfId="6475"/>
    <cellStyle name="40% - Accent6 47" xfId="1153"/>
    <cellStyle name="40% - Accent6 47 2" xfId="4576"/>
    <cellStyle name="40% - Accent6 47 2 2" xfId="9909"/>
    <cellStyle name="40% - Accent6 47 3" xfId="3341"/>
    <cellStyle name="40% - Accent6 47 3 2" xfId="8675"/>
    <cellStyle name="40% - Accent6 47 4" xfId="6489"/>
    <cellStyle name="40% - Accent6 48" xfId="1167"/>
    <cellStyle name="40% - Accent6 48 2" xfId="4577"/>
    <cellStyle name="40% - Accent6 48 2 2" xfId="9910"/>
    <cellStyle name="40% - Accent6 48 3" xfId="3342"/>
    <cellStyle name="40% - Accent6 48 3 2" xfId="8676"/>
    <cellStyle name="40% - Accent6 48 4" xfId="6503"/>
    <cellStyle name="40% - Accent6 49" xfId="1181"/>
    <cellStyle name="40% - Accent6 49 2" xfId="4578"/>
    <cellStyle name="40% - Accent6 49 2 2" xfId="9911"/>
    <cellStyle name="40% - Accent6 49 3" xfId="3343"/>
    <cellStyle name="40% - Accent6 49 3 2" xfId="8677"/>
    <cellStyle name="40% - Accent6 49 4" xfId="6517"/>
    <cellStyle name="40% - Accent6 5" xfId="101"/>
    <cellStyle name="40% - Accent6 5 2" xfId="578"/>
    <cellStyle name="40% - Accent6 5 2 2" xfId="4579"/>
    <cellStyle name="40% - Accent6 5 2 2 2" xfId="9912"/>
    <cellStyle name="40% - Accent6 5 2 3" xfId="2781"/>
    <cellStyle name="40% - Accent6 5 2 3 2" xfId="8115"/>
    <cellStyle name="40% - Accent6 5 2 4" xfId="5915"/>
    <cellStyle name="40% - Accent6 5 3" xfId="4580"/>
    <cellStyle name="40% - Accent6 5 3 2" xfId="9913"/>
    <cellStyle name="40% - Accent6 5 4" xfId="2780"/>
    <cellStyle name="40% - Accent6 5 4 2" xfId="8114"/>
    <cellStyle name="40% - Accent6 5 5" xfId="5439"/>
    <cellStyle name="40% - Accent6 50" xfId="1195"/>
    <cellStyle name="40% - Accent6 50 2" xfId="4581"/>
    <cellStyle name="40% - Accent6 50 2 2" xfId="9914"/>
    <cellStyle name="40% - Accent6 50 3" xfId="3344"/>
    <cellStyle name="40% - Accent6 50 3 2" xfId="8678"/>
    <cellStyle name="40% - Accent6 50 4" xfId="6531"/>
    <cellStyle name="40% - Accent6 51" xfId="1209"/>
    <cellStyle name="40% - Accent6 51 2" xfId="4582"/>
    <cellStyle name="40% - Accent6 51 2 2" xfId="9915"/>
    <cellStyle name="40% - Accent6 51 3" xfId="3345"/>
    <cellStyle name="40% - Accent6 51 3 2" xfId="8679"/>
    <cellStyle name="40% - Accent6 51 4" xfId="6545"/>
    <cellStyle name="40% - Accent6 52" xfId="1223"/>
    <cellStyle name="40% - Accent6 52 2" xfId="4583"/>
    <cellStyle name="40% - Accent6 52 2 2" xfId="9916"/>
    <cellStyle name="40% - Accent6 52 3" xfId="3346"/>
    <cellStyle name="40% - Accent6 52 3 2" xfId="8680"/>
    <cellStyle name="40% - Accent6 52 4" xfId="6559"/>
    <cellStyle name="40% - Accent6 53" xfId="1237"/>
    <cellStyle name="40% - Accent6 53 2" xfId="4584"/>
    <cellStyle name="40% - Accent6 53 2 2" xfId="9917"/>
    <cellStyle name="40% - Accent6 53 3" xfId="3347"/>
    <cellStyle name="40% - Accent6 53 3 2" xfId="8681"/>
    <cellStyle name="40% - Accent6 53 4" xfId="6573"/>
    <cellStyle name="40% - Accent6 54" xfId="1251"/>
    <cellStyle name="40% - Accent6 54 2" xfId="4585"/>
    <cellStyle name="40% - Accent6 54 2 2" xfId="9918"/>
    <cellStyle name="40% - Accent6 54 3" xfId="3348"/>
    <cellStyle name="40% - Accent6 54 3 2" xfId="8682"/>
    <cellStyle name="40% - Accent6 54 4" xfId="6587"/>
    <cellStyle name="40% - Accent6 55" xfId="1265"/>
    <cellStyle name="40% - Accent6 55 2" xfId="4586"/>
    <cellStyle name="40% - Accent6 55 2 2" xfId="9919"/>
    <cellStyle name="40% - Accent6 55 3" xfId="3349"/>
    <cellStyle name="40% - Accent6 55 3 2" xfId="8683"/>
    <cellStyle name="40% - Accent6 55 4" xfId="6601"/>
    <cellStyle name="40% - Accent6 56" xfId="1279"/>
    <cellStyle name="40% - Accent6 56 2" xfId="4587"/>
    <cellStyle name="40% - Accent6 56 2 2" xfId="9920"/>
    <cellStyle name="40% - Accent6 56 3" xfId="3350"/>
    <cellStyle name="40% - Accent6 56 3 2" xfId="8684"/>
    <cellStyle name="40% - Accent6 56 4" xfId="6615"/>
    <cellStyle name="40% - Accent6 57" xfId="1293"/>
    <cellStyle name="40% - Accent6 57 2" xfId="4588"/>
    <cellStyle name="40% - Accent6 57 2 2" xfId="9921"/>
    <cellStyle name="40% - Accent6 57 3" xfId="3351"/>
    <cellStyle name="40% - Accent6 57 3 2" xfId="8685"/>
    <cellStyle name="40% - Accent6 57 4" xfId="6629"/>
    <cellStyle name="40% - Accent6 58" xfId="1307"/>
    <cellStyle name="40% - Accent6 58 2" xfId="4589"/>
    <cellStyle name="40% - Accent6 58 2 2" xfId="9922"/>
    <cellStyle name="40% - Accent6 58 3" xfId="3352"/>
    <cellStyle name="40% - Accent6 58 3 2" xfId="8686"/>
    <cellStyle name="40% - Accent6 58 4" xfId="6643"/>
    <cellStyle name="40% - Accent6 59" xfId="1321"/>
    <cellStyle name="40% - Accent6 59 2" xfId="4590"/>
    <cellStyle name="40% - Accent6 59 2 2" xfId="9923"/>
    <cellStyle name="40% - Accent6 59 3" xfId="3353"/>
    <cellStyle name="40% - Accent6 59 3 2" xfId="8687"/>
    <cellStyle name="40% - Accent6 59 4" xfId="6657"/>
    <cellStyle name="40% - Accent6 6" xfId="115"/>
    <cellStyle name="40% - Accent6 6 2" xfId="592"/>
    <cellStyle name="40% - Accent6 6 2 2" xfId="4591"/>
    <cellStyle name="40% - Accent6 6 2 2 2" xfId="9924"/>
    <cellStyle name="40% - Accent6 6 2 3" xfId="2783"/>
    <cellStyle name="40% - Accent6 6 2 3 2" xfId="8117"/>
    <cellStyle name="40% - Accent6 6 2 4" xfId="5929"/>
    <cellStyle name="40% - Accent6 6 3" xfId="4592"/>
    <cellStyle name="40% - Accent6 6 3 2" xfId="9925"/>
    <cellStyle name="40% - Accent6 6 4" xfId="2782"/>
    <cellStyle name="40% - Accent6 6 4 2" xfId="8116"/>
    <cellStyle name="40% - Accent6 6 5" xfId="5453"/>
    <cellStyle name="40% - Accent6 60" xfId="1335"/>
    <cellStyle name="40% - Accent6 60 2" xfId="4593"/>
    <cellStyle name="40% - Accent6 60 2 2" xfId="9926"/>
    <cellStyle name="40% - Accent6 60 3" xfId="3354"/>
    <cellStyle name="40% - Accent6 60 3 2" xfId="8688"/>
    <cellStyle name="40% - Accent6 60 4" xfId="6671"/>
    <cellStyle name="40% - Accent6 61" xfId="1349"/>
    <cellStyle name="40% - Accent6 61 2" xfId="4594"/>
    <cellStyle name="40% - Accent6 61 2 2" xfId="9927"/>
    <cellStyle name="40% - Accent6 61 3" xfId="3355"/>
    <cellStyle name="40% - Accent6 61 3 2" xfId="8689"/>
    <cellStyle name="40% - Accent6 61 4" xfId="6685"/>
    <cellStyle name="40% - Accent6 62" xfId="1363"/>
    <cellStyle name="40% - Accent6 62 2" xfId="3356"/>
    <cellStyle name="40% - Accent6 62 2 2" xfId="8690"/>
    <cellStyle name="40% - Accent6 62 3" xfId="6699"/>
    <cellStyle name="40% - Accent6 63" xfId="1377"/>
    <cellStyle name="40% - Accent6 63 2" xfId="3357"/>
    <cellStyle name="40% - Accent6 63 2 2" xfId="8691"/>
    <cellStyle name="40% - Accent6 63 3" xfId="6713"/>
    <cellStyle name="40% - Accent6 64" xfId="1391"/>
    <cellStyle name="40% - Accent6 64 2" xfId="3358"/>
    <cellStyle name="40% - Accent6 64 2 2" xfId="8692"/>
    <cellStyle name="40% - Accent6 64 3" xfId="6727"/>
    <cellStyle name="40% - Accent6 65" xfId="1405"/>
    <cellStyle name="40% - Accent6 65 2" xfId="3359"/>
    <cellStyle name="40% - Accent6 65 2 2" xfId="8693"/>
    <cellStyle name="40% - Accent6 65 3" xfId="6741"/>
    <cellStyle name="40% - Accent6 66" xfId="1419"/>
    <cellStyle name="40% - Accent6 66 2" xfId="3360"/>
    <cellStyle name="40% - Accent6 66 2 2" xfId="8694"/>
    <cellStyle name="40% - Accent6 66 3" xfId="6755"/>
    <cellStyle name="40% - Accent6 67" xfId="1433"/>
    <cellStyle name="40% - Accent6 67 2" xfId="3361"/>
    <cellStyle name="40% - Accent6 67 2 2" xfId="8695"/>
    <cellStyle name="40% - Accent6 67 3" xfId="6769"/>
    <cellStyle name="40% - Accent6 68" xfId="1447"/>
    <cellStyle name="40% - Accent6 68 2" xfId="3362"/>
    <cellStyle name="40% - Accent6 68 2 2" xfId="8696"/>
    <cellStyle name="40% - Accent6 68 3" xfId="6783"/>
    <cellStyle name="40% - Accent6 69" xfId="1461"/>
    <cellStyle name="40% - Accent6 69 2" xfId="3363"/>
    <cellStyle name="40% - Accent6 69 2 2" xfId="8697"/>
    <cellStyle name="40% - Accent6 69 3" xfId="6797"/>
    <cellStyle name="40% - Accent6 7" xfId="129"/>
    <cellStyle name="40% - Accent6 7 2" xfId="606"/>
    <cellStyle name="40% - Accent6 7 2 2" xfId="4595"/>
    <cellStyle name="40% - Accent6 7 2 2 2" xfId="9928"/>
    <cellStyle name="40% - Accent6 7 2 3" xfId="2785"/>
    <cellStyle name="40% - Accent6 7 2 3 2" xfId="8119"/>
    <cellStyle name="40% - Accent6 7 2 4" xfId="5943"/>
    <cellStyle name="40% - Accent6 7 3" xfId="4596"/>
    <cellStyle name="40% - Accent6 7 3 2" xfId="9929"/>
    <cellStyle name="40% - Accent6 7 4" xfId="2784"/>
    <cellStyle name="40% - Accent6 7 4 2" xfId="8118"/>
    <cellStyle name="40% - Accent6 7 5" xfId="5467"/>
    <cellStyle name="40% - Accent6 70" xfId="1475"/>
    <cellStyle name="40% - Accent6 70 2" xfId="3364"/>
    <cellStyle name="40% - Accent6 70 2 2" xfId="8698"/>
    <cellStyle name="40% - Accent6 70 3" xfId="6811"/>
    <cellStyle name="40% - Accent6 71" xfId="1489"/>
    <cellStyle name="40% - Accent6 71 2" xfId="3365"/>
    <cellStyle name="40% - Accent6 71 2 2" xfId="8699"/>
    <cellStyle name="40% - Accent6 71 3" xfId="6825"/>
    <cellStyle name="40% - Accent6 72" xfId="1503"/>
    <cellStyle name="40% - Accent6 72 2" xfId="3366"/>
    <cellStyle name="40% - Accent6 72 2 2" xfId="8700"/>
    <cellStyle name="40% - Accent6 72 3" xfId="6839"/>
    <cellStyle name="40% - Accent6 73" xfId="1517"/>
    <cellStyle name="40% - Accent6 73 2" xfId="3367"/>
    <cellStyle name="40% - Accent6 73 2 2" xfId="8701"/>
    <cellStyle name="40% - Accent6 73 3" xfId="6853"/>
    <cellStyle name="40% - Accent6 74" xfId="1531"/>
    <cellStyle name="40% - Accent6 74 2" xfId="3368"/>
    <cellStyle name="40% - Accent6 74 2 2" xfId="8702"/>
    <cellStyle name="40% - Accent6 74 3" xfId="6867"/>
    <cellStyle name="40% - Accent6 75" xfId="1545"/>
    <cellStyle name="40% - Accent6 75 2" xfId="3369"/>
    <cellStyle name="40% - Accent6 75 2 2" xfId="8703"/>
    <cellStyle name="40% - Accent6 75 3" xfId="6881"/>
    <cellStyle name="40% - Accent6 76" xfId="1559"/>
    <cellStyle name="40% - Accent6 76 2" xfId="3476"/>
    <cellStyle name="40% - Accent6 76 2 2" xfId="8810"/>
    <cellStyle name="40% - Accent6 76 3" xfId="6895"/>
    <cellStyle name="40% - Accent6 77" xfId="1573"/>
    <cellStyle name="40% - Accent6 77 2" xfId="3477"/>
    <cellStyle name="40% - Accent6 77 2 2" xfId="8811"/>
    <cellStyle name="40% - Accent6 77 3" xfId="6909"/>
    <cellStyle name="40% - Accent6 78" xfId="1587"/>
    <cellStyle name="40% - Accent6 78 2" xfId="3478"/>
    <cellStyle name="40% - Accent6 78 2 2" xfId="8812"/>
    <cellStyle name="40% - Accent6 78 3" xfId="6923"/>
    <cellStyle name="40% - Accent6 79" xfId="1601"/>
    <cellStyle name="40% - Accent6 79 2" xfId="3479"/>
    <cellStyle name="40% - Accent6 79 2 2" xfId="8813"/>
    <cellStyle name="40% - Accent6 79 3" xfId="6937"/>
    <cellStyle name="40% - Accent6 8" xfId="143"/>
    <cellStyle name="40% - Accent6 8 2" xfId="620"/>
    <cellStyle name="40% - Accent6 8 2 2" xfId="4597"/>
    <cellStyle name="40% - Accent6 8 2 2 2" xfId="9930"/>
    <cellStyle name="40% - Accent6 8 2 3" xfId="2787"/>
    <cellStyle name="40% - Accent6 8 2 3 2" xfId="8121"/>
    <cellStyle name="40% - Accent6 8 2 4" xfId="5957"/>
    <cellStyle name="40% - Accent6 8 3" xfId="4598"/>
    <cellStyle name="40% - Accent6 8 3 2" xfId="9931"/>
    <cellStyle name="40% - Accent6 8 4" xfId="2786"/>
    <cellStyle name="40% - Accent6 8 4 2" xfId="8120"/>
    <cellStyle name="40% - Accent6 8 5" xfId="5481"/>
    <cellStyle name="40% - Accent6 80" xfId="1615"/>
    <cellStyle name="40% - Accent6 80 2" xfId="4849"/>
    <cellStyle name="40% - Accent6 80 2 2" xfId="10182"/>
    <cellStyle name="40% - Accent6 80 3" xfId="6951"/>
    <cellStyle name="40% - Accent6 81" xfId="1629"/>
    <cellStyle name="40% - Accent6 81 2" xfId="4850"/>
    <cellStyle name="40% - Accent6 81 2 2" xfId="10183"/>
    <cellStyle name="40% - Accent6 81 3" xfId="6965"/>
    <cellStyle name="40% - Accent6 82" xfId="1643"/>
    <cellStyle name="40% - Accent6 82 2" xfId="4851"/>
    <cellStyle name="40% - Accent6 82 2 2" xfId="10184"/>
    <cellStyle name="40% - Accent6 82 3" xfId="6979"/>
    <cellStyle name="40% - Accent6 83" xfId="1657"/>
    <cellStyle name="40% - Accent6 83 2" xfId="4852"/>
    <cellStyle name="40% - Accent6 83 2 2" xfId="10185"/>
    <cellStyle name="40% - Accent6 83 3" xfId="6993"/>
    <cellStyle name="40% - Accent6 84" xfId="1671"/>
    <cellStyle name="40% - Accent6 84 2" xfId="4853"/>
    <cellStyle name="40% - Accent6 84 2 2" xfId="10186"/>
    <cellStyle name="40% - Accent6 84 3" xfId="7007"/>
    <cellStyle name="40% - Accent6 85" xfId="1685"/>
    <cellStyle name="40% - Accent6 85 2" xfId="4895"/>
    <cellStyle name="40% - Accent6 85 2 2" xfId="10228"/>
    <cellStyle name="40% - Accent6 85 3" xfId="7021"/>
    <cellStyle name="40% - Accent6 86" xfId="1699"/>
    <cellStyle name="40% - Accent6 86 2" xfId="4896"/>
    <cellStyle name="40% - Accent6 86 2 2" xfId="10229"/>
    <cellStyle name="40% - Accent6 86 3" xfId="7035"/>
    <cellStyle name="40% - Accent6 87" xfId="1713"/>
    <cellStyle name="40% - Accent6 87 2" xfId="4897"/>
    <cellStyle name="40% - Accent6 87 2 2" xfId="10230"/>
    <cellStyle name="40% - Accent6 87 3" xfId="7049"/>
    <cellStyle name="40% - Accent6 88" xfId="1727"/>
    <cellStyle name="40% - Accent6 88 2" xfId="4972"/>
    <cellStyle name="40% - Accent6 88 2 2" xfId="10305"/>
    <cellStyle name="40% - Accent6 88 3" xfId="7063"/>
    <cellStyle name="40% - Accent6 89" xfId="1741"/>
    <cellStyle name="40% - Accent6 89 2" xfId="4973"/>
    <cellStyle name="40% - Accent6 89 2 2" xfId="10306"/>
    <cellStyle name="40% - Accent6 89 3" xfId="7077"/>
    <cellStyle name="40% - Accent6 9" xfId="157"/>
    <cellStyle name="40% - Accent6 9 2" xfId="634"/>
    <cellStyle name="40% - Accent6 9 2 2" xfId="4599"/>
    <cellStyle name="40% - Accent6 9 2 2 2" xfId="9932"/>
    <cellStyle name="40% - Accent6 9 2 3" xfId="2789"/>
    <cellStyle name="40% - Accent6 9 2 3 2" xfId="8123"/>
    <cellStyle name="40% - Accent6 9 2 4" xfId="5971"/>
    <cellStyle name="40% - Accent6 9 3" xfId="4600"/>
    <cellStyle name="40% - Accent6 9 3 2" xfId="9933"/>
    <cellStyle name="40% - Accent6 9 4" xfId="2788"/>
    <cellStyle name="40% - Accent6 9 4 2" xfId="8122"/>
    <cellStyle name="40% - Accent6 9 5" xfId="5495"/>
    <cellStyle name="40% - Accent6 90" xfId="1755"/>
    <cellStyle name="40% - Accent6 90 2" xfId="4974"/>
    <cellStyle name="40% - Accent6 90 2 2" xfId="10307"/>
    <cellStyle name="40% - Accent6 90 3" xfId="7091"/>
    <cellStyle name="40% - Accent6 91" xfId="1769"/>
    <cellStyle name="40% - Accent6 91 2" xfId="4975"/>
    <cellStyle name="40% - Accent6 91 2 2" xfId="10308"/>
    <cellStyle name="40% - Accent6 91 3" xfId="7105"/>
    <cellStyle name="40% - Accent6 92" xfId="1783"/>
    <cellStyle name="40% - Accent6 92 2" xfId="4976"/>
    <cellStyle name="40% - Accent6 92 2 2" xfId="10309"/>
    <cellStyle name="40% - Accent6 92 3" xfId="7119"/>
    <cellStyle name="40% - Accent6 93" xfId="1797"/>
    <cellStyle name="40% - Accent6 93 2" xfId="4977"/>
    <cellStyle name="40% - Accent6 93 2 2" xfId="10310"/>
    <cellStyle name="40% - Accent6 93 3" xfId="7133"/>
    <cellStyle name="40% - Accent6 94" xfId="1811"/>
    <cellStyle name="40% - Accent6 94 2" xfId="5011"/>
    <cellStyle name="40% - Accent6 94 2 2" xfId="10342"/>
    <cellStyle name="40% - Accent6 94 3" xfId="7147"/>
    <cellStyle name="40% - Accent6 95" xfId="1825"/>
    <cellStyle name="40% - Accent6 95 2" xfId="5012"/>
    <cellStyle name="40% - Accent6 95 2 2" xfId="10343"/>
    <cellStyle name="40% - Accent6 95 3" xfId="7161"/>
    <cellStyle name="40% - Accent6 96" xfId="1839"/>
    <cellStyle name="40% - Accent6 96 2" xfId="5062"/>
    <cellStyle name="40% - Accent6 96 2 2" xfId="10393"/>
    <cellStyle name="40% - Accent6 96 3" xfId="7175"/>
    <cellStyle name="40% - Accent6 97" xfId="1853"/>
    <cellStyle name="40% - Accent6 97 2" xfId="5063"/>
    <cellStyle name="40% - Accent6 97 2 2" xfId="10394"/>
    <cellStyle name="40% - Accent6 97 3" xfId="7189"/>
    <cellStyle name="40% - Accent6 98" xfId="1867"/>
    <cellStyle name="40% - Accent6 98 2" xfId="5064"/>
    <cellStyle name="40% - Accent6 98 2 2" xfId="10395"/>
    <cellStyle name="40% - Accent6 98 3" xfId="7203"/>
    <cellStyle name="40% - Accent6 99" xfId="1881"/>
    <cellStyle name="40% - Accent6 99 2" xfId="5065"/>
    <cellStyle name="40% - Accent6 99 2 2" xfId="10396"/>
    <cellStyle name="40% - Accent6 99 3" xfId="721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312" builtinId="3"/>
    <cellStyle name="Comma 2" xfId="789"/>
    <cellStyle name="Comma 3" xfId="5355"/>
    <cellStyle name="Currency" xfId="5351" builtinId="4"/>
    <cellStyle name="Currency 2" xfId="4985"/>
    <cellStyle name="Currency 3" xfId="1925"/>
    <cellStyle name="Currency 3 2" xfId="7261"/>
    <cellStyle name="Currency 4" xfId="5354"/>
    <cellStyle name="Currency 4 2" xfId="10684"/>
    <cellStyle name="Euro" xfId="498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44"/>
    <cellStyle name="Normal 10 2" xfId="621"/>
    <cellStyle name="Normal 10 2 2" xfId="4601"/>
    <cellStyle name="Normal 10 2 2 2" xfId="9934"/>
    <cellStyle name="Normal 10 2 3" xfId="2790"/>
    <cellStyle name="Normal 10 2 3 2" xfId="8124"/>
    <cellStyle name="Normal 10 2 4" xfId="5958"/>
    <cellStyle name="Normal 10 3" xfId="4602"/>
    <cellStyle name="Normal 10 3 2" xfId="9935"/>
    <cellStyle name="Normal 10 4" xfId="1941"/>
    <cellStyle name="Normal 10 4 2" xfId="7276"/>
    <cellStyle name="Normal 10 5" xfId="5482"/>
    <cellStyle name="Normal 100" xfId="1882"/>
    <cellStyle name="Normal 100 2" xfId="7218"/>
    <cellStyle name="Normal 101" xfId="1896"/>
    <cellStyle name="Normal 101 2" xfId="7232"/>
    <cellStyle name="Normal 102" xfId="1910"/>
    <cellStyle name="Normal 102 2" xfId="7246"/>
    <cellStyle name="Normal 103" xfId="1924"/>
    <cellStyle name="Normal 103 2" xfId="7260"/>
    <cellStyle name="Normal 104" xfId="5071"/>
    <cellStyle name="Normal 104 2" xfId="10402"/>
    <cellStyle name="Normal 105" xfId="5085"/>
    <cellStyle name="Normal 105 2" xfId="10416"/>
    <cellStyle name="Normal 106" xfId="5099"/>
    <cellStyle name="Normal 106 2" xfId="10430"/>
    <cellStyle name="Normal 107" xfId="5113"/>
    <cellStyle name="Normal 107 2" xfId="10444"/>
    <cellStyle name="Normal 108" xfId="5127"/>
    <cellStyle name="Normal 108 2" xfId="10458"/>
    <cellStyle name="Normal 109" xfId="5141"/>
    <cellStyle name="Normal 109 2" xfId="10472"/>
    <cellStyle name="Normal 11" xfId="158"/>
    <cellStyle name="Normal 11 2" xfId="635"/>
    <cellStyle name="Normal 11 2 2" xfId="4603"/>
    <cellStyle name="Normal 11 2 2 2" xfId="9936"/>
    <cellStyle name="Normal 11 2 3" xfId="2792"/>
    <cellStyle name="Normal 11 2 3 2" xfId="8126"/>
    <cellStyle name="Normal 11 2 4" xfId="5972"/>
    <cellStyle name="Normal 11 3" xfId="4604"/>
    <cellStyle name="Normal 11 3 2" xfId="9937"/>
    <cellStyle name="Normal 11 4" xfId="2791"/>
    <cellStyle name="Normal 11 4 2" xfId="8125"/>
    <cellStyle name="Normal 11 5" xfId="5496"/>
    <cellStyle name="Normal 110" xfId="5155"/>
    <cellStyle name="Normal 110 2" xfId="10486"/>
    <cellStyle name="Normal 111" xfId="5169"/>
    <cellStyle name="Normal 111 2" xfId="10500"/>
    <cellStyle name="Normal 112" xfId="5183"/>
    <cellStyle name="Normal 112 2" xfId="10514"/>
    <cellStyle name="Normal 113" xfId="5197"/>
    <cellStyle name="Normal 113 2" xfId="10528"/>
    <cellStyle name="Normal 114" xfId="5211"/>
    <cellStyle name="Normal 114 2" xfId="10542"/>
    <cellStyle name="Normal 115" xfId="5225"/>
    <cellStyle name="Normal 115 2" xfId="10556"/>
    <cellStyle name="Normal 116" xfId="5239"/>
    <cellStyle name="Normal 116 2" xfId="10570"/>
    <cellStyle name="Normal 117" xfId="5253"/>
    <cellStyle name="Normal 117 2" xfId="10584"/>
    <cellStyle name="Normal 118" xfId="5267"/>
    <cellStyle name="Normal 118 2" xfId="10598"/>
    <cellStyle name="Normal 119" xfId="5281"/>
    <cellStyle name="Normal 119 2" xfId="10612"/>
    <cellStyle name="Normal 12" xfId="172"/>
    <cellStyle name="Normal 12 2" xfId="649"/>
    <cellStyle name="Normal 12 2 2" xfId="4605"/>
    <cellStyle name="Normal 12 2 2 2" xfId="9938"/>
    <cellStyle name="Normal 12 2 3" xfId="2794"/>
    <cellStyle name="Normal 12 2 3 2" xfId="8128"/>
    <cellStyle name="Normal 12 2 4" xfId="5986"/>
    <cellStyle name="Normal 12 3" xfId="4606"/>
    <cellStyle name="Normal 12 3 2" xfId="9939"/>
    <cellStyle name="Normal 12 4" xfId="2793"/>
    <cellStyle name="Normal 12 4 2" xfId="8127"/>
    <cellStyle name="Normal 12 5" xfId="5510"/>
    <cellStyle name="Normal 120" xfId="5295"/>
    <cellStyle name="Normal 120 2" xfId="10626"/>
    <cellStyle name="Normal 121" xfId="5309"/>
    <cellStyle name="Normal 121 2" xfId="10640"/>
    <cellStyle name="Normal 122" xfId="5323"/>
    <cellStyle name="Normal 122 2" xfId="10654"/>
    <cellStyle name="Normal 123" xfId="5337"/>
    <cellStyle name="Normal 123 2" xfId="10668"/>
    <cellStyle name="Normal 124" xfId="5352"/>
    <cellStyle name="Normal 124 2" xfId="10682"/>
    <cellStyle name="Normal 125" xfId="5356"/>
    <cellStyle name="Normal 125 2" xfId="10685"/>
    <cellStyle name="Normal 126" xfId="10699"/>
    <cellStyle name="Normal 127" xfId="10713"/>
    <cellStyle name="Normal 128" xfId="10727"/>
    <cellStyle name="Normal 129" xfId="10741"/>
    <cellStyle name="Normal 13" xfId="186"/>
    <cellStyle name="Normal 13 2" xfId="663"/>
    <cellStyle name="Normal 13 2 2" xfId="4607"/>
    <cellStyle name="Normal 13 2 2 2" xfId="9940"/>
    <cellStyle name="Normal 13 2 3" xfId="2796"/>
    <cellStyle name="Normal 13 2 3 2" xfId="8130"/>
    <cellStyle name="Normal 13 2 4" xfId="6000"/>
    <cellStyle name="Normal 13 3" xfId="4608"/>
    <cellStyle name="Normal 13 3 2" xfId="9941"/>
    <cellStyle name="Normal 13 4" xfId="2795"/>
    <cellStyle name="Normal 13 4 2" xfId="8129"/>
    <cellStyle name="Normal 13 5" xfId="5524"/>
    <cellStyle name="Normal 130" xfId="10755"/>
    <cellStyle name="Normal 131" xfId="10769"/>
    <cellStyle name="Normal 132" xfId="10784"/>
    <cellStyle name="Normal 133" xfId="10798"/>
    <cellStyle name="Normal 134" xfId="10812"/>
    <cellStyle name="Normal 135" xfId="10826"/>
    <cellStyle name="Normal 136" xfId="10840"/>
    <cellStyle name="Normal 137" xfId="10854"/>
    <cellStyle name="Normal 138" xfId="10868"/>
    <cellStyle name="Normal 139" xfId="10882"/>
    <cellStyle name="Normal 14" xfId="200"/>
    <cellStyle name="Normal 14 2" xfId="677"/>
    <cellStyle name="Normal 14 2 2" xfId="4609"/>
    <cellStyle name="Normal 14 2 2 2" xfId="9942"/>
    <cellStyle name="Normal 14 2 3" xfId="2798"/>
    <cellStyle name="Normal 14 2 3 2" xfId="8132"/>
    <cellStyle name="Normal 14 2 4" xfId="6014"/>
    <cellStyle name="Normal 14 3" xfId="4610"/>
    <cellStyle name="Normal 14 3 2" xfId="9943"/>
    <cellStyle name="Normal 14 4" xfId="2797"/>
    <cellStyle name="Normal 14 4 2" xfId="8131"/>
    <cellStyle name="Normal 14 5" xfId="5538"/>
    <cellStyle name="Normal 140" xfId="10896"/>
    <cellStyle name="Normal 141" xfId="10910"/>
    <cellStyle name="Normal 142" xfId="10924"/>
    <cellStyle name="Normal 143" xfId="10938"/>
    <cellStyle name="Normal 144" xfId="10952"/>
    <cellStyle name="Normal 145" xfId="10966"/>
    <cellStyle name="Normal 146" xfId="10980"/>
    <cellStyle name="Normal 147" xfId="10994"/>
    <cellStyle name="Normal 148" xfId="11008"/>
    <cellStyle name="Normal 149" xfId="11022"/>
    <cellStyle name="Normal 15" xfId="214"/>
    <cellStyle name="Normal 15 2" xfId="691"/>
    <cellStyle name="Normal 15 2 2" xfId="4611"/>
    <cellStyle name="Normal 15 2 2 2" xfId="9944"/>
    <cellStyle name="Normal 15 2 3" xfId="2799"/>
    <cellStyle name="Normal 15 2 3 2" xfId="8133"/>
    <cellStyle name="Normal 15 2 4" xfId="6028"/>
    <cellStyle name="Normal 15 3" xfId="4612"/>
    <cellStyle name="Normal 15 3 2" xfId="9945"/>
    <cellStyle name="Normal 15 4" xfId="1946"/>
    <cellStyle name="Normal 15 4 2" xfId="7281"/>
    <cellStyle name="Normal 15 5" xfId="5552"/>
    <cellStyle name="Normal 150" xfId="11036"/>
    <cellStyle name="Normal 151" xfId="11050"/>
    <cellStyle name="Normal 16" xfId="228"/>
    <cellStyle name="Normal 16 2" xfId="705"/>
    <cellStyle name="Normal 16 2 2" xfId="4613"/>
    <cellStyle name="Normal 16 2 2 2" xfId="9946"/>
    <cellStyle name="Normal 16 2 3" xfId="2800"/>
    <cellStyle name="Normal 16 2 3 2" xfId="8134"/>
    <cellStyle name="Normal 16 2 4" xfId="6042"/>
    <cellStyle name="Normal 16 3" xfId="4614"/>
    <cellStyle name="Normal 16 3 2" xfId="9947"/>
    <cellStyle name="Normal 16 4" xfId="1942"/>
    <cellStyle name="Normal 16 4 2" xfId="7277"/>
    <cellStyle name="Normal 16 5" xfId="5566"/>
    <cellStyle name="Normal 17" xfId="242"/>
    <cellStyle name="Normal 17 2" xfId="719"/>
    <cellStyle name="Normal 17 2 2" xfId="4615"/>
    <cellStyle name="Normal 17 2 2 2" xfId="9948"/>
    <cellStyle name="Normal 17 2 3" xfId="2801"/>
    <cellStyle name="Normal 17 2 3 2" xfId="8135"/>
    <cellStyle name="Normal 17 2 4" xfId="6056"/>
    <cellStyle name="Normal 17 3" xfId="4616"/>
    <cellStyle name="Normal 17 3 2" xfId="9949"/>
    <cellStyle name="Normal 17 4" xfId="1929"/>
    <cellStyle name="Normal 17 4 2" xfId="7264"/>
    <cellStyle name="Normal 17 5" xfId="5580"/>
    <cellStyle name="Normal 18" xfId="256"/>
    <cellStyle name="Normal 18 2" xfId="733"/>
    <cellStyle name="Normal 18 2 2" xfId="4617"/>
    <cellStyle name="Normal 18 2 2 2" xfId="9950"/>
    <cellStyle name="Normal 18 2 3" xfId="2802"/>
    <cellStyle name="Normal 18 2 3 2" xfId="8136"/>
    <cellStyle name="Normal 18 2 4" xfId="6070"/>
    <cellStyle name="Normal 18 3" xfId="4618"/>
    <cellStyle name="Normal 18 3 2" xfId="9951"/>
    <cellStyle name="Normal 18 4" xfId="1943"/>
    <cellStyle name="Normal 18 4 2" xfId="7278"/>
    <cellStyle name="Normal 18 5" xfId="5594"/>
    <cellStyle name="Normal 19" xfId="270"/>
    <cellStyle name="Normal 19 2" xfId="747"/>
    <cellStyle name="Normal 19 2 2" xfId="4619"/>
    <cellStyle name="Normal 19 2 2 2" xfId="9952"/>
    <cellStyle name="Normal 19 2 3" xfId="2803"/>
    <cellStyle name="Normal 19 2 3 2" xfId="8137"/>
    <cellStyle name="Normal 19 2 4" xfId="6084"/>
    <cellStyle name="Normal 19 3" xfId="4620"/>
    <cellStyle name="Normal 19 3 2" xfId="9953"/>
    <cellStyle name="Normal 19 4" xfId="1934"/>
    <cellStyle name="Normal 19 4 2" xfId="7269"/>
    <cellStyle name="Normal 19 5" xfId="5608"/>
    <cellStyle name="Normal 2" xfId="37"/>
    <cellStyle name="Normal 2 2" xfId="521"/>
    <cellStyle name="Normal 2 2 2" xfId="4621"/>
    <cellStyle name="Normal 2 2 2 2" xfId="9954"/>
    <cellStyle name="Normal 2 2 3" xfId="2804"/>
    <cellStyle name="Normal 2 2 3 2" xfId="8138"/>
    <cellStyle name="Normal 2 2 4" xfId="5858"/>
    <cellStyle name="Normal 2 3" xfId="4622"/>
    <cellStyle name="Normal 2 3 2" xfId="9955"/>
    <cellStyle name="Normal 2 4" xfId="1927"/>
    <cellStyle name="Normal 2 5" xfId="5382"/>
    <cellStyle name="Normal 20" xfId="284"/>
    <cellStyle name="Normal 20 2" xfId="761"/>
    <cellStyle name="Normal 20 2 2" xfId="4623"/>
    <cellStyle name="Normal 20 2 2 2" xfId="9956"/>
    <cellStyle name="Normal 20 2 3" xfId="2806"/>
    <cellStyle name="Normal 20 2 3 2" xfId="8140"/>
    <cellStyle name="Normal 20 2 4" xfId="6098"/>
    <cellStyle name="Normal 20 3" xfId="4624"/>
    <cellStyle name="Normal 20 3 2" xfId="9957"/>
    <cellStyle name="Normal 20 4" xfId="2805"/>
    <cellStyle name="Normal 20 4 2" xfId="8139"/>
    <cellStyle name="Normal 20 5" xfId="5622"/>
    <cellStyle name="Normal 21" xfId="298"/>
    <cellStyle name="Normal 21 2" xfId="775"/>
    <cellStyle name="Normal 21 2 2" xfId="4625"/>
    <cellStyle name="Normal 21 2 2 2" xfId="9958"/>
    <cellStyle name="Normal 21 2 3" xfId="2808"/>
    <cellStyle name="Normal 21 2 3 2" xfId="8142"/>
    <cellStyle name="Normal 21 2 4" xfId="6112"/>
    <cellStyle name="Normal 21 3" xfId="4626"/>
    <cellStyle name="Normal 21 3 2" xfId="9959"/>
    <cellStyle name="Normal 21 4" xfId="2807"/>
    <cellStyle name="Normal 21 4 2" xfId="8141"/>
    <cellStyle name="Normal 21 5" xfId="5636"/>
    <cellStyle name="Normal 22" xfId="313"/>
    <cellStyle name="Normal 22 2" xfId="790"/>
    <cellStyle name="Normal 22 2 2" xfId="4627"/>
    <cellStyle name="Normal 22 2 2 2" xfId="9960"/>
    <cellStyle name="Normal 22 2 3" xfId="2809"/>
    <cellStyle name="Normal 22 2 3 2" xfId="8143"/>
    <cellStyle name="Normal 22 2 4" xfId="6126"/>
    <cellStyle name="Normal 22 3" xfId="4628"/>
    <cellStyle name="Normal 22 3 2" xfId="9961"/>
    <cellStyle name="Normal 22 4" xfId="1948"/>
    <cellStyle name="Normal 22 4 2" xfId="7283"/>
    <cellStyle name="Normal 22 5" xfId="5650"/>
    <cellStyle name="Normal 23" xfId="327"/>
    <cellStyle name="Normal 23 2" xfId="804"/>
    <cellStyle name="Normal 23 2 2" xfId="4629"/>
    <cellStyle name="Normal 23 2 2 2" xfId="9962"/>
    <cellStyle name="Normal 23 2 3" xfId="2810"/>
    <cellStyle name="Normal 23 2 3 2" xfId="8144"/>
    <cellStyle name="Normal 23 2 4" xfId="6140"/>
    <cellStyle name="Normal 23 3" xfId="4630"/>
    <cellStyle name="Normal 23 3 2" xfId="9963"/>
    <cellStyle name="Normal 23 4" xfId="1931"/>
    <cellStyle name="Normal 23 4 2" xfId="7266"/>
    <cellStyle name="Normal 23 5" xfId="5664"/>
    <cellStyle name="Normal 24" xfId="341"/>
    <cellStyle name="Normal 24 2" xfId="818"/>
    <cellStyle name="Normal 24 2 2" xfId="4631"/>
    <cellStyle name="Normal 24 2 2 2" xfId="9964"/>
    <cellStyle name="Normal 24 2 3" xfId="2811"/>
    <cellStyle name="Normal 24 2 3 2" xfId="8145"/>
    <cellStyle name="Normal 24 2 4" xfId="6154"/>
    <cellStyle name="Normal 24 3" xfId="4632"/>
    <cellStyle name="Normal 24 3 2" xfId="9965"/>
    <cellStyle name="Normal 24 4" xfId="1933"/>
    <cellStyle name="Normal 24 4 2" xfId="7268"/>
    <cellStyle name="Normal 24 5" xfId="5678"/>
    <cellStyle name="Normal 25" xfId="355"/>
    <cellStyle name="Normal 25 2" xfId="832"/>
    <cellStyle name="Normal 25 2 2" xfId="4633"/>
    <cellStyle name="Normal 25 2 2 2" xfId="9966"/>
    <cellStyle name="Normal 25 2 3" xfId="2812"/>
    <cellStyle name="Normal 25 2 3 2" xfId="8146"/>
    <cellStyle name="Normal 25 2 4" xfId="6168"/>
    <cellStyle name="Normal 25 3" xfId="4634"/>
    <cellStyle name="Normal 25 3 2" xfId="9967"/>
    <cellStyle name="Normal 25 4" xfId="1935"/>
    <cellStyle name="Normal 25 4 2" xfId="7270"/>
    <cellStyle name="Normal 25 5" xfId="5692"/>
    <cellStyle name="Normal 26" xfId="369"/>
    <cellStyle name="Normal 26 2" xfId="846"/>
    <cellStyle name="Normal 26 2 2" xfId="4635"/>
    <cellStyle name="Normal 26 2 2 2" xfId="9968"/>
    <cellStyle name="Normal 26 2 3" xfId="2813"/>
    <cellStyle name="Normal 26 2 3 2" xfId="8147"/>
    <cellStyle name="Normal 26 2 4" xfId="6182"/>
    <cellStyle name="Normal 26 3" xfId="4636"/>
    <cellStyle name="Normal 26 3 2" xfId="9969"/>
    <cellStyle name="Normal 26 4" xfId="1936"/>
    <cellStyle name="Normal 26 4 2" xfId="7271"/>
    <cellStyle name="Normal 26 5" xfId="5706"/>
    <cellStyle name="Normal 27" xfId="383"/>
    <cellStyle name="Normal 27 2" xfId="860"/>
    <cellStyle name="Normal 27 2 2" xfId="4637"/>
    <cellStyle name="Normal 27 2 2 2" xfId="9970"/>
    <cellStyle name="Normal 27 2 3" xfId="2814"/>
    <cellStyle name="Normal 27 2 3 2" xfId="8148"/>
    <cellStyle name="Normal 27 2 4" xfId="6196"/>
    <cellStyle name="Normal 27 3" xfId="4638"/>
    <cellStyle name="Normal 27 3 2" xfId="9971"/>
    <cellStyle name="Normal 27 4" xfId="1939"/>
    <cellStyle name="Normal 27 4 2" xfId="7274"/>
    <cellStyle name="Normal 27 5" xfId="5720"/>
    <cellStyle name="Normal 28" xfId="397"/>
    <cellStyle name="Normal 28 2" xfId="874"/>
    <cellStyle name="Normal 28 2 2" xfId="4639"/>
    <cellStyle name="Normal 28 2 2 2" xfId="9972"/>
    <cellStyle name="Normal 28 2 3" xfId="2816"/>
    <cellStyle name="Normal 28 2 3 2" xfId="8150"/>
    <cellStyle name="Normal 28 2 4" xfId="6210"/>
    <cellStyle name="Normal 28 3" xfId="4640"/>
    <cellStyle name="Normal 28 3 2" xfId="9973"/>
    <cellStyle name="Normal 28 4" xfId="2815"/>
    <cellStyle name="Normal 28 4 2" xfId="8149"/>
    <cellStyle name="Normal 28 5" xfId="5734"/>
    <cellStyle name="Normal 29" xfId="411"/>
    <cellStyle name="Normal 29 2" xfId="888"/>
    <cellStyle name="Normal 29 2 2" xfId="4641"/>
    <cellStyle name="Normal 29 2 2 2" xfId="9974"/>
    <cellStyle name="Normal 29 2 3" xfId="2817"/>
    <cellStyle name="Normal 29 2 3 2" xfId="8151"/>
    <cellStyle name="Normal 29 2 4" xfId="6224"/>
    <cellStyle name="Normal 29 3" xfId="4642"/>
    <cellStyle name="Normal 29 3 2" xfId="9975"/>
    <cellStyle name="Normal 29 4" xfId="1930"/>
    <cellStyle name="Normal 29 4 2" xfId="7265"/>
    <cellStyle name="Normal 29 5" xfId="5748"/>
    <cellStyle name="Normal 3" xfId="46"/>
    <cellStyle name="Normal 3 2" xfId="523"/>
    <cellStyle name="Normal 3 2 2" xfId="4643"/>
    <cellStyle name="Normal 3 2 2 2" xfId="9976"/>
    <cellStyle name="Normal 3 2 3" xfId="2818"/>
    <cellStyle name="Normal 3 2 3 2" xfId="8152"/>
    <cellStyle name="Normal 3 2 4" xfId="5860"/>
    <cellStyle name="Normal 3 3" xfId="4644"/>
    <cellStyle name="Normal 3 3 2" xfId="9977"/>
    <cellStyle name="Normal 3 4" xfId="1937"/>
    <cellStyle name="Normal 3 4 2" xfId="7272"/>
    <cellStyle name="Normal 3 5" xfId="5384"/>
    <cellStyle name="Normal 30" xfId="425"/>
    <cellStyle name="Normal 30 2" xfId="902"/>
    <cellStyle name="Normal 30 2 2" xfId="4645"/>
    <cellStyle name="Normal 30 2 2 2" xfId="9978"/>
    <cellStyle name="Normal 30 2 3" xfId="2819"/>
    <cellStyle name="Normal 30 2 3 2" xfId="8153"/>
    <cellStyle name="Normal 30 2 4" xfId="6238"/>
    <cellStyle name="Normal 30 3" xfId="4646"/>
    <cellStyle name="Normal 30 3 2" xfId="9979"/>
    <cellStyle name="Normal 30 4" xfId="1944"/>
    <cellStyle name="Normal 30 4 2" xfId="7279"/>
    <cellStyle name="Normal 30 5" xfId="5762"/>
    <cellStyle name="Normal 31" xfId="439"/>
    <cellStyle name="Normal 31 2" xfId="916"/>
    <cellStyle name="Normal 31 2 2" xfId="4647"/>
    <cellStyle name="Normal 31 2 2 2" xfId="9980"/>
    <cellStyle name="Normal 31 2 3" xfId="2821"/>
    <cellStyle name="Normal 31 2 3 2" xfId="8155"/>
    <cellStyle name="Normal 31 2 4" xfId="6252"/>
    <cellStyle name="Normal 31 3" xfId="4648"/>
    <cellStyle name="Normal 31 3 2" xfId="9981"/>
    <cellStyle name="Normal 31 4" xfId="2820"/>
    <cellStyle name="Normal 31 4 2" xfId="8154"/>
    <cellStyle name="Normal 31 5" xfId="5776"/>
    <cellStyle name="Normal 32" xfId="453"/>
    <cellStyle name="Normal 32 2" xfId="930"/>
    <cellStyle name="Normal 32 2 2" xfId="4649"/>
    <cellStyle name="Normal 32 2 2 2" xfId="9982"/>
    <cellStyle name="Normal 32 2 3" xfId="2822"/>
    <cellStyle name="Normal 32 2 3 2" xfId="8156"/>
    <cellStyle name="Normal 32 2 4" xfId="6266"/>
    <cellStyle name="Normal 32 3" xfId="4650"/>
    <cellStyle name="Normal 32 3 2" xfId="9983"/>
    <cellStyle name="Normal 32 4" xfId="1940"/>
    <cellStyle name="Normal 32 4 2" xfId="7275"/>
    <cellStyle name="Normal 32 5" xfId="5790"/>
    <cellStyle name="Normal 33" xfId="467"/>
    <cellStyle name="Normal 33 2" xfId="944"/>
    <cellStyle name="Normal 33 2 2" xfId="4651"/>
    <cellStyle name="Normal 33 2 2 2" xfId="9984"/>
    <cellStyle name="Normal 33 2 3" xfId="2823"/>
    <cellStyle name="Normal 33 2 3 2" xfId="8157"/>
    <cellStyle name="Normal 33 2 4" xfId="6280"/>
    <cellStyle name="Normal 33 3" xfId="4652"/>
    <cellStyle name="Normal 33 3 2" xfId="9985"/>
    <cellStyle name="Normal 33 4" xfId="1945"/>
    <cellStyle name="Normal 33 4 2" xfId="7280"/>
    <cellStyle name="Normal 33 5" xfId="5804"/>
    <cellStyle name="Normal 34" xfId="481"/>
    <cellStyle name="Normal 34 2" xfId="958"/>
    <cellStyle name="Normal 34 2 2" xfId="4653"/>
    <cellStyle name="Normal 34 2 2 2" xfId="9986"/>
    <cellStyle name="Normal 34 2 3" xfId="2824"/>
    <cellStyle name="Normal 34 2 3 2" xfId="8158"/>
    <cellStyle name="Normal 34 2 4" xfId="6294"/>
    <cellStyle name="Normal 34 3" xfId="4654"/>
    <cellStyle name="Normal 34 3 2" xfId="9987"/>
    <cellStyle name="Normal 34 4" xfId="1938"/>
    <cellStyle name="Normal 34 4 2" xfId="7273"/>
    <cellStyle name="Normal 34 5" xfId="5818"/>
    <cellStyle name="Normal 35" xfId="495"/>
    <cellStyle name="Normal 35 2" xfId="972"/>
    <cellStyle name="Normal 35 2 2" xfId="4655"/>
    <cellStyle name="Normal 35 2 2 2" xfId="9988"/>
    <cellStyle name="Normal 35 2 3" xfId="2825"/>
    <cellStyle name="Normal 35 2 3 2" xfId="8159"/>
    <cellStyle name="Normal 35 2 4" xfId="6308"/>
    <cellStyle name="Normal 35 3" xfId="4656"/>
    <cellStyle name="Normal 35 3 2" xfId="9989"/>
    <cellStyle name="Normal 35 4" xfId="1947"/>
    <cellStyle name="Normal 35 4 2" xfId="7282"/>
    <cellStyle name="Normal 35 5" xfId="5832"/>
    <cellStyle name="Normal 36" xfId="986"/>
    <cellStyle name="Normal 36 2" xfId="4657"/>
    <cellStyle name="Normal 36 2 2" xfId="9990"/>
    <cellStyle name="Normal 36 3" xfId="2826"/>
    <cellStyle name="Normal 36 3 2" xfId="8160"/>
    <cellStyle name="Normal 36 4" xfId="6322"/>
    <cellStyle name="Normal 37" xfId="1000"/>
    <cellStyle name="Normal 37 2" xfId="4658"/>
    <cellStyle name="Normal 37 2 2" xfId="9991"/>
    <cellStyle name="Normal 37 3" xfId="2827"/>
    <cellStyle name="Normal 37 3 2" xfId="8161"/>
    <cellStyle name="Normal 37 4" xfId="6336"/>
    <cellStyle name="Normal 38" xfId="1014"/>
    <cellStyle name="Normal 38 2" xfId="4659"/>
    <cellStyle name="Normal 38 2 2" xfId="9992"/>
    <cellStyle name="Normal 38 3" xfId="1928"/>
    <cellStyle name="Normal 38 3 2" xfId="7263"/>
    <cellStyle name="Normal 38 4" xfId="6350"/>
    <cellStyle name="Normal 39" xfId="1028"/>
    <cellStyle name="Normal 39 2" xfId="4660"/>
    <cellStyle name="Normal 39 2 2" xfId="9993"/>
    <cellStyle name="Normal 39 3" xfId="2910"/>
    <cellStyle name="Normal 39 3 2" xfId="8244"/>
    <cellStyle name="Normal 39 4" xfId="6364"/>
    <cellStyle name="Normal 4" xfId="60"/>
    <cellStyle name="Normal 4 2" xfId="537"/>
    <cellStyle name="Normal 4 2 2" xfId="4661"/>
    <cellStyle name="Normal 4 2 2 2" xfId="9994"/>
    <cellStyle name="Normal 4 2 3" xfId="2829"/>
    <cellStyle name="Normal 4 2 3 2" xfId="8163"/>
    <cellStyle name="Normal 4 2 4" xfId="5874"/>
    <cellStyle name="Normal 4 3" xfId="4662"/>
    <cellStyle name="Normal 4 3 2" xfId="9995"/>
    <cellStyle name="Normal 4 4" xfId="2828"/>
    <cellStyle name="Normal 4 4 2" xfId="8162"/>
    <cellStyle name="Normal 4 5" xfId="5398"/>
    <cellStyle name="Normal 40" xfId="1042"/>
    <cellStyle name="Normal 40 2" xfId="4663"/>
    <cellStyle name="Normal 40 2 2" xfId="9996"/>
    <cellStyle name="Normal 40 3" xfId="3370"/>
    <cellStyle name="Normal 40 3 2" xfId="8704"/>
    <cellStyle name="Normal 40 4" xfId="6378"/>
    <cellStyle name="Normal 41" xfId="1056"/>
    <cellStyle name="Normal 41 2" xfId="4664"/>
    <cellStyle name="Normal 41 2 2" xfId="9997"/>
    <cellStyle name="Normal 41 3" xfId="3371"/>
    <cellStyle name="Normal 41 3 2" xfId="8705"/>
    <cellStyle name="Normal 41 4" xfId="6392"/>
    <cellStyle name="Normal 42" xfId="1070"/>
    <cellStyle name="Normal 42 2" xfId="4665"/>
    <cellStyle name="Normal 42 2 2" xfId="9998"/>
    <cellStyle name="Normal 42 3" xfId="2922"/>
    <cellStyle name="Normal 42 3 2" xfId="8256"/>
    <cellStyle name="Normal 42 4" xfId="6406"/>
    <cellStyle name="Normal 43" xfId="1084"/>
    <cellStyle name="Normal 43 2" xfId="4666"/>
    <cellStyle name="Normal 43 2 2" xfId="9999"/>
    <cellStyle name="Normal 43 3" xfId="2921"/>
    <cellStyle name="Normal 43 3 2" xfId="8255"/>
    <cellStyle name="Normal 43 4" xfId="6420"/>
    <cellStyle name="Normal 44" xfId="1098"/>
    <cellStyle name="Normal 44 2" xfId="4667"/>
    <cellStyle name="Normal 44 2 2" xfId="10000"/>
    <cellStyle name="Normal 44 3" xfId="3372"/>
    <cellStyle name="Normal 44 3 2" xfId="8706"/>
    <cellStyle name="Normal 44 4" xfId="6434"/>
    <cellStyle name="Normal 45" xfId="1112"/>
    <cellStyle name="Normal 45 2" xfId="4668"/>
    <cellStyle name="Normal 45 2 2" xfId="10001"/>
    <cellStyle name="Normal 45 3" xfId="3373"/>
    <cellStyle name="Normal 45 3 2" xfId="8707"/>
    <cellStyle name="Normal 45 4" xfId="6448"/>
    <cellStyle name="Normal 46" xfId="1126"/>
    <cellStyle name="Normal 46 2" xfId="4669"/>
    <cellStyle name="Normal 46 2 2" xfId="10002"/>
    <cellStyle name="Normal 46 3" xfId="3374"/>
    <cellStyle name="Normal 46 3 2" xfId="8708"/>
    <cellStyle name="Normal 46 4" xfId="6462"/>
    <cellStyle name="Normal 47" xfId="1140"/>
    <cellStyle name="Normal 47 2" xfId="4670"/>
    <cellStyle name="Normal 47 2 2" xfId="10003"/>
    <cellStyle name="Normal 47 3" xfId="3375"/>
    <cellStyle name="Normal 47 3 2" xfId="8709"/>
    <cellStyle name="Normal 47 4" xfId="6476"/>
    <cellStyle name="Normal 48" xfId="1154"/>
    <cellStyle name="Normal 48 2" xfId="4671"/>
    <cellStyle name="Normal 48 2 2" xfId="10004"/>
    <cellStyle name="Normal 48 3" xfId="3376"/>
    <cellStyle name="Normal 48 3 2" xfId="8710"/>
    <cellStyle name="Normal 48 4" xfId="6490"/>
    <cellStyle name="Normal 49" xfId="1168"/>
    <cellStyle name="Normal 49 2" xfId="4672"/>
    <cellStyle name="Normal 49 2 2" xfId="10005"/>
    <cellStyle name="Normal 49 3" xfId="3377"/>
    <cellStyle name="Normal 49 3 2" xfId="8711"/>
    <cellStyle name="Normal 49 4" xfId="6504"/>
    <cellStyle name="Normal 5" xfId="74"/>
    <cellStyle name="Normal 5 2" xfId="551"/>
    <cellStyle name="Normal 5 2 2" xfId="4673"/>
    <cellStyle name="Normal 5 2 2 2" xfId="10006"/>
    <cellStyle name="Normal 5 2 3" xfId="2831"/>
    <cellStyle name="Normal 5 2 3 2" xfId="8165"/>
    <cellStyle name="Normal 5 2 4" xfId="5888"/>
    <cellStyle name="Normal 5 3" xfId="4674"/>
    <cellStyle name="Normal 5 3 2" xfId="10007"/>
    <cellStyle name="Normal 5 4" xfId="2830"/>
    <cellStyle name="Normal 5 4 2" xfId="8164"/>
    <cellStyle name="Normal 5 5" xfId="5412"/>
    <cellStyle name="Normal 50" xfId="1182"/>
    <cellStyle name="Normal 50 2" xfId="4675"/>
    <cellStyle name="Normal 50 2 2" xfId="10008"/>
    <cellStyle name="Normal 50 3" xfId="3378"/>
    <cellStyle name="Normal 50 3 2" xfId="8712"/>
    <cellStyle name="Normal 50 4" xfId="6518"/>
    <cellStyle name="Normal 51" xfId="1196"/>
    <cellStyle name="Normal 51 2" xfId="4676"/>
    <cellStyle name="Normal 51 2 2" xfId="10009"/>
    <cellStyle name="Normal 51 3" xfId="3379"/>
    <cellStyle name="Normal 51 3 2" xfId="8713"/>
    <cellStyle name="Normal 51 4" xfId="6532"/>
    <cellStyle name="Normal 52" xfId="1210"/>
    <cellStyle name="Normal 52 2" xfId="4677"/>
    <cellStyle name="Normal 52 2 2" xfId="10010"/>
    <cellStyle name="Normal 52 3" xfId="3380"/>
    <cellStyle name="Normal 52 3 2" xfId="8714"/>
    <cellStyle name="Normal 52 4" xfId="6546"/>
    <cellStyle name="Normal 53" xfId="1224"/>
    <cellStyle name="Normal 53 2" xfId="4678"/>
    <cellStyle name="Normal 53 2 2" xfId="10011"/>
    <cellStyle name="Normal 53 3" xfId="3381"/>
    <cellStyle name="Normal 53 3 2" xfId="8715"/>
    <cellStyle name="Normal 53 4" xfId="6560"/>
    <cellStyle name="Normal 54" xfId="1238"/>
    <cellStyle name="Normal 54 2" xfId="4679"/>
    <cellStyle name="Normal 54 2 2" xfId="10012"/>
    <cellStyle name="Normal 54 3" xfId="3382"/>
    <cellStyle name="Normal 54 3 2" xfId="8716"/>
    <cellStyle name="Normal 54 4" xfId="6574"/>
    <cellStyle name="Normal 55" xfId="1252"/>
    <cellStyle name="Normal 55 2" xfId="4680"/>
    <cellStyle name="Normal 55 2 2" xfId="10013"/>
    <cellStyle name="Normal 55 3" xfId="3383"/>
    <cellStyle name="Normal 55 3 2" xfId="8717"/>
    <cellStyle name="Normal 55 4" xfId="6588"/>
    <cellStyle name="Normal 56" xfId="1266"/>
    <cellStyle name="Normal 56 2" xfId="4681"/>
    <cellStyle name="Normal 56 2 2" xfId="10014"/>
    <cellStyle name="Normal 56 3" xfId="2924"/>
    <cellStyle name="Normal 56 3 2" xfId="8258"/>
    <cellStyle name="Normal 56 4" xfId="6602"/>
    <cellStyle name="Normal 57" xfId="1280"/>
    <cellStyle name="Normal 57 2" xfId="4682"/>
    <cellStyle name="Normal 57 2 2" xfId="10015"/>
    <cellStyle name="Normal 57 3" xfId="3384"/>
    <cellStyle name="Normal 57 3 2" xfId="8718"/>
    <cellStyle name="Normal 57 4" xfId="6616"/>
    <cellStyle name="Normal 58" xfId="1294"/>
    <cellStyle name="Normal 58 2" xfId="4683"/>
    <cellStyle name="Normal 58 2 2" xfId="10016"/>
    <cellStyle name="Normal 58 3" xfId="3385"/>
    <cellStyle name="Normal 58 3 2" xfId="8719"/>
    <cellStyle name="Normal 58 4" xfId="6630"/>
    <cellStyle name="Normal 59" xfId="1308"/>
    <cellStyle name="Normal 59 2" xfId="4684"/>
    <cellStyle name="Normal 59 2 2" xfId="10017"/>
    <cellStyle name="Normal 59 3" xfId="3386"/>
    <cellStyle name="Normal 59 3 2" xfId="8720"/>
    <cellStyle name="Normal 59 4" xfId="6644"/>
    <cellStyle name="Normal 6" xfId="88"/>
    <cellStyle name="Normal 6 2" xfId="565"/>
    <cellStyle name="Normal 6 2 2" xfId="4685"/>
    <cellStyle name="Normal 6 2 2 2" xfId="10018"/>
    <cellStyle name="Normal 6 2 3" xfId="2833"/>
    <cellStyle name="Normal 6 2 3 2" xfId="8167"/>
    <cellStyle name="Normal 6 2 4" xfId="5902"/>
    <cellStyle name="Normal 6 3" xfId="4686"/>
    <cellStyle name="Normal 6 3 2" xfId="10019"/>
    <cellStyle name="Normal 6 4" xfId="2832"/>
    <cellStyle name="Normal 6 4 2" xfId="8166"/>
    <cellStyle name="Normal 6 5" xfId="5426"/>
    <cellStyle name="Normal 60" xfId="1322"/>
    <cellStyle name="Normal 60 2" xfId="4687"/>
    <cellStyle name="Normal 60 2 2" xfId="10020"/>
    <cellStyle name="Normal 60 3" xfId="3387"/>
    <cellStyle name="Normal 60 3 2" xfId="8721"/>
    <cellStyle name="Normal 60 4" xfId="6658"/>
    <cellStyle name="Normal 61" xfId="1336"/>
    <cellStyle name="Normal 61 2" xfId="4688"/>
    <cellStyle name="Normal 61 2 2" xfId="10021"/>
    <cellStyle name="Normal 61 3" xfId="2920"/>
    <cellStyle name="Normal 61 3 2" xfId="8254"/>
    <cellStyle name="Normal 61 4" xfId="6672"/>
    <cellStyle name="Normal 62" xfId="1350"/>
    <cellStyle name="Normal 62 2" xfId="3388"/>
    <cellStyle name="Normal 62 2 2" xfId="8722"/>
    <cellStyle name="Normal 62 3" xfId="6686"/>
    <cellStyle name="Normal 63" xfId="1364"/>
    <cellStyle name="Normal 63 2" xfId="3484"/>
    <cellStyle name="Normal 63 3" xfId="2915"/>
    <cellStyle name="Normal 63 3 2" xfId="8249"/>
    <cellStyle name="Normal 63 4" xfId="6700"/>
    <cellStyle name="Normal 64" xfId="1378"/>
    <cellStyle name="Normal 64 2" xfId="2914"/>
    <cellStyle name="Normal 64 2 2" xfId="8248"/>
    <cellStyle name="Normal 64 3" xfId="6714"/>
    <cellStyle name="Normal 65" xfId="1392"/>
    <cellStyle name="Normal 65 2" xfId="2916"/>
    <cellStyle name="Normal 65 2 2" xfId="8250"/>
    <cellStyle name="Normal 65 3" xfId="6728"/>
    <cellStyle name="Normal 66" xfId="1406"/>
    <cellStyle name="Normal 66 2" xfId="2918"/>
    <cellStyle name="Normal 66 2 2" xfId="8252"/>
    <cellStyle name="Normal 66 3" xfId="6742"/>
    <cellStyle name="Normal 67" xfId="1420"/>
    <cellStyle name="Normal 67 2" xfId="2919"/>
    <cellStyle name="Normal 67 2 2" xfId="8253"/>
    <cellStyle name="Normal 67 3" xfId="6756"/>
    <cellStyle name="Normal 68" xfId="1434"/>
    <cellStyle name="Normal 68 2" xfId="3389"/>
    <cellStyle name="Normal 68 2 2" xfId="8723"/>
    <cellStyle name="Normal 68 3" xfId="6770"/>
    <cellStyle name="Normal 69" xfId="1448"/>
    <cellStyle name="Normal 69 2" xfId="2923"/>
    <cellStyle name="Normal 69 2 2" xfId="8257"/>
    <cellStyle name="Normal 69 3" xfId="6784"/>
    <cellStyle name="Normal 7" xfId="102"/>
    <cellStyle name="Normal 7 2" xfId="579"/>
    <cellStyle name="Normal 7 2 2" xfId="4689"/>
    <cellStyle name="Normal 7 2 2 2" xfId="10022"/>
    <cellStyle name="Normal 7 2 3" xfId="2835"/>
    <cellStyle name="Normal 7 2 3 2" xfId="8169"/>
    <cellStyle name="Normal 7 2 4" xfId="5916"/>
    <cellStyle name="Normal 7 3" xfId="4690"/>
    <cellStyle name="Normal 7 3 2" xfId="10023"/>
    <cellStyle name="Normal 7 4" xfId="2834"/>
    <cellStyle name="Normal 7 4 2" xfId="8168"/>
    <cellStyle name="Normal 7 5" xfId="5440"/>
    <cellStyle name="Normal 70" xfId="1462"/>
    <cellStyle name="Normal 70 2" xfId="2913"/>
    <cellStyle name="Normal 70 2 2" xfId="8247"/>
    <cellStyle name="Normal 70 3" xfId="6798"/>
    <cellStyle name="Normal 71" xfId="1476"/>
    <cellStyle name="Normal 71 2" xfId="3390"/>
    <cellStyle name="Normal 71 2 2" xfId="8724"/>
    <cellStyle name="Normal 71 3" xfId="6812"/>
    <cellStyle name="Normal 72" xfId="1490"/>
    <cellStyle name="Normal 72 2" xfId="2925"/>
    <cellStyle name="Normal 72 2 2" xfId="8259"/>
    <cellStyle name="Normal 72 3" xfId="6826"/>
    <cellStyle name="Normal 73" xfId="1504"/>
    <cellStyle name="Normal 73 2" xfId="3391"/>
    <cellStyle name="Normal 73 2 2" xfId="8725"/>
    <cellStyle name="Normal 73 3" xfId="6840"/>
    <cellStyle name="Normal 74" xfId="1518"/>
    <cellStyle name="Normal 74 2" xfId="2917"/>
    <cellStyle name="Normal 74 2 2" xfId="8251"/>
    <cellStyle name="Normal 74 3" xfId="6854"/>
    <cellStyle name="Normal 75" xfId="1532"/>
    <cellStyle name="Normal 75 2" xfId="2912"/>
    <cellStyle name="Normal 75 2 2" xfId="8246"/>
    <cellStyle name="Normal 75 3" xfId="6868"/>
    <cellStyle name="Normal 76" xfId="1546"/>
    <cellStyle name="Normal 76 2" xfId="3431"/>
    <cellStyle name="Normal 76 2 2" xfId="8765"/>
    <cellStyle name="Normal 76 3" xfId="6882"/>
    <cellStyle name="Normal 77" xfId="1560"/>
    <cellStyle name="Normal 77 2" xfId="3429"/>
    <cellStyle name="Normal 77 2 2" xfId="8763"/>
    <cellStyle name="Normal 77 3" xfId="6896"/>
    <cellStyle name="Normal 78" xfId="1574"/>
    <cellStyle name="Normal 78 2" xfId="3430"/>
    <cellStyle name="Normal 78 2 2" xfId="8764"/>
    <cellStyle name="Normal 78 3" xfId="6910"/>
    <cellStyle name="Normal 79" xfId="1588"/>
    <cellStyle name="Normal 79 2" xfId="3428"/>
    <cellStyle name="Normal 79 2 2" xfId="8762"/>
    <cellStyle name="Normal 79 3" xfId="6924"/>
    <cellStyle name="Normal 8" xfId="116"/>
    <cellStyle name="Normal 8 2" xfId="593"/>
    <cellStyle name="Normal 8 2 2" xfId="4691"/>
    <cellStyle name="Normal 8 2 2 2" xfId="10024"/>
    <cellStyle name="Normal 8 2 3" xfId="2837"/>
    <cellStyle name="Normal 8 2 3 2" xfId="8171"/>
    <cellStyle name="Normal 8 2 4" xfId="5930"/>
    <cellStyle name="Normal 8 3" xfId="4692"/>
    <cellStyle name="Normal 8 3 2" xfId="10025"/>
    <cellStyle name="Normal 8 4" xfId="2836"/>
    <cellStyle name="Normal 8 4 2" xfId="8170"/>
    <cellStyle name="Normal 8 5" xfId="5454"/>
    <cellStyle name="Normal 80" xfId="1602"/>
    <cellStyle name="Normal 80 2" xfId="4793"/>
    <cellStyle name="Normal 80 2 2" xfId="10126"/>
    <cellStyle name="Normal 80 3" xfId="6938"/>
    <cellStyle name="Normal 81" xfId="1616"/>
    <cellStyle name="Normal 81 2" xfId="4791"/>
    <cellStyle name="Normal 81 2 2" xfId="10124"/>
    <cellStyle name="Normal 81 3" xfId="6952"/>
    <cellStyle name="Normal 82" xfId="1630"/>
    <cellStyle name="Normal 82 2" xfId="4790"/>
    <cellStyle name="Normal 82 2 2" xfId="10123"/>
    <cellStyle name="Normal 82 3" xfId="6966"/>
    <cellStyle name="Normal 83" xfId="1644"/>
    <cellStyle name="Normal 83 2" xfId="4792"/>
    <cellStyle name="Normal 83 2 2" xfId="10125"/>
    <cellStyle name="Normal 83 3" xfId="6980"/>
    <cellStyle name="Normal 84" xfId="1658"/>
    <cellStyle name="Normal 84 2" xfId="4789"/>
    <cellStyle name="Normal 84 2 2" xfId="10122"/>
    <cellStyle name="Normal 84 3" xfId="6994"/>
    <cellStyle name="Normal 85" xfId="1672"/>
    <cellStyle name="Normal 85 2" xfId="4860"/>
    <cellStyle name="Normal 85 2 2" xfId="10193"/>
    <cellStyle name="Normal 85 3" xfId="7008"/>
    <cellStyle name="Normal 86" xfId="1686"/>
    <cellStyle name="Normal 86 2" xfId="4861"/>
    <cellStyle name="Normal 86 2 2" xfId="10194"/>
    <cellStyle name="Normal 86 3" xfId="7022"/>
    <cellStyle name="Normal 87" xfId="1700"/>
    <cellStyle name="Normal 87 2" xfId="4859"/>
    <cellStyle name="Normal 87 2 2" xfId="10192"/>
    <cellStyle name="Normal 87 3" xfId="7036"/>
    <cellStyle name="Normal 88" xfId="1714"/>
    <cellStyle name="Normal 88 2" xfId="4904"/>
    <cellStyle name="Normal 88 2 2" xfId="10237"/>
    <cellStyle name="Normal 88 3" xfId="7050"/>
    <cellStyle name="Normal 89" xfId="1728"/>
    <cellStyle name="Normal 89 2" xfId="4905"/>
    <cellStyle name="Normal 89 2 2" xfId="10238"/>
    <cellStyle name="Normal 89 3" xfId="7064"/>
    <cellStyle name="Normal 9" xfId="130"/>
    <cellStyle name="Normal 9 2" xfId="607"/>
    <cellStyle name="Normal 9 2 2" xfId="4693"/>
    <cellStyle name="Normal 9 2 2 2" xfId="10026"/>
    <cellStyle name="Normal 9 2 3" xfId="2838"/>
    <cellStyle name="Normal 9 2 3 2" xfId="8172"/>
    <cellStyle name="Normal 9 2 4" xfId="5944"/>
    <cellStyle name="Normal 9 3" xfId="4694"/>
    <cellStyle name="Normal 9 3 2" xfId="10027"/>
    <cellStyle name="Normal 9 4" xfId="1932"/>
    <cellStyle name="Normal 9 4 2" xfId="7267"/>
    <cellStyle name="Normal 9 5" xfId="5468"/>
    <cellStyle name="Normal 90" xfId="1742"/>
    <cellStyle name="Normal 90 2" xfId="4903"/>
    <cellStyle name="Normal 90 2 2" xfId="10236"/>
    <cellStyle name="Normal 90 3" xfId="7078"/>
    <cellStyle name="Normal 91" xfId="1756"/>
    <cellStyle name="Normal 91 2" xfId="4902"/>
    <cellStyle name="Normal 91 2 2" xfId="10235"/>
    <cellStyle name="Normal 91 3" xfId="7092"/>
    <cellStyle name="Normal 92" xfId="1770"/>
    <cellStyle name="Normal 92 2" xfId="4901"/>
    <cellStyle name="Normal 92 2 2" xfId="10234"/>
    <cellStyle name="Normal 92 3" xfId="7106"/>
    <cellStyle name="Normal 93" xfId="1784"/>
    <cellStyle name="Normal 93 2" xfId="4978"/>
    <cellStyle name="Normal 93 2 2" xfId="10311"/>
    <cellStyle name="Normal 93 3" xfId="7120"/>
    <cellStyle name="Normal 94" xfId="1798"/>
    <cellStyle name="Normal 94 2" xfId="4987"/>
    <cellStyle name="Normal 94 2 2" xfId="10318"/>
    <cellStyle name="Normal 94 3" xfId="7134"/>
    <cellStyle name="Normal 95" xfId="1812"/>
    <cellStyle name="Normal 95 2" xfId="4988"/>
    <cellStyle name="Normal 95 2 2" xfId="10319"/>
    <cellStyle name="Normal 95 3" xfId="7148"/>
    <cellStyle name="Normal 96" xfId="1826"/>
    <cellStyle name="Normal 96 2" xfId="5016"/>
    <cellStyle name="Normal 96 2 2" xfId="10347"/>
    <cellStyle name="Normal 96 3" xfId="7162"/>
    <cellStyle name="Normal 97" xfId="1840"/>
    <cellStyle name="Normal 97 2" xfId="5017"/>
    <cellStyle name="Normal 97 2 2" xfId="10348"/>
    <cellStyle name="Normal 97 3" xfId="7176"/>
    <cellStyle name="Normal 98" xfId="1854"/>
    <cellStyle name="Normal 98 2" xfId="5066"/>
    <cellStyle name="Normal 98 2 2" xfId="10397"/>
    <cellStyle name="Normal 98 3" xfId="7190"/>
    <cellStyle name="Normal 99" xfId="1868"/>
    <cellStyle name="Normal 99 2" xfId="5015"/>
    <cellStyle name="Normal 99 2 2" xfId="10346"/>
    <cellStyle name="Normal 99 3" xfId="7204"/>
    <cellStyle name="Normal_August 6, 2010" xfId="38"/>
    <cellStyle name="Normal_INV500 " xfId="39"/>
    <cellStyle name="Normal_WARRANT0" xfId="10783"/>
    <cellStyle name="Note 10" xfId="145"/>
    <cellStyle name="Note 10 2" xfId="622"/>
    <cellStyle name="Note 10 2 2" xfId="4695"/>
    <cellStyle name="Note 10 2 2 2" xfId="10028"/>
    <cellStyle name="Note 10 2 3" xfId="2840"/>
    <cellStyle name="Note 10 2 3 2" xfId="8174"/>
    <cellStyle name="Note 10 2 4" xfId="5959"/>
    <cellStyle name="Note 10 3" xfId="4696"/>
    <cellStyle name="Note 10 3 2" xfId="10029"/>
    <cellStyle name="Note 10 4" xfId="2839"/>
    <cellStyle name="Note 10 4 2" xfId="8173"/>
    <cellStyle name="Note 10 5" xfId="5483"/>
    <cellStyle name="Note 100" xfId="1883"/>
    <cellStyle name="Note 100 2" xfId="7219"/>
    <cellStyle name="Note 101" xfId="1897"/>
    <cellStyle name="Note 101 2" xfId="7233"/>
    <cellStyle name="Note 102" xfId="1911"/>
    <cellStyle name="Note 102 2" xfId="7247"/>
    <cellStyle name="Note 103" xfId="5072"/>
    <cellStyle name="Note 103 2" xfId="10403"/>
    <cellStyle name="Note 104" xfId="5086"/>
    <cellStyle name="Note 104 2" xfId="10417"/>
    <cellStyle name="Note 105" xfId="5100"/>
    <cellStyle name="Note 105 2" xfId="10431"/>
    <cellStyle name="Note 106" xfId="5114"/>
    <cellStyle name="Note 106 2" xfId="10445"/>
    <cellStyle name="Note 107" xfId="5128"/>
    <cellStyle name="Note 107 2" xfId="10459"/>
    <cellStyle name="Note 108" xfId="5142"/>
    <cellStyle name="Note 108 2" xfId="10473"/>
    <cellStyle name="Note 109" xfId="5156"/>
    <cellStyle name="Note 109 2" xfId="10487"/>
    <cellStyle name="Note 11" xfId="159"/>
    <cellStyle name="Note 11 2" xfId="636"/>
    <cellStyle name="Note 11 2 2" xfId="4697"/>
    <cellStyle name="Note 11 2 2 2" xfId="10030"/>
    <cellStyle name="Note 11 2 3" xfId="2842"/>
    <cellStyle name="Note 11 2 3 2" xfId="8176"/>
    <cellStyle name="Note 11 2 4" xfId="5973"/>
    <cellStyle name="Note 11 3" xfId="4698"/>
    <cellStyle name="Note 11 3 2" xfId="10031"/>
    <cellStyle name="Note 11 4" xfId="2841"/>
    <cellStyle name="Note 11 4 2" xfId="8175"/>
    <cellStyle name="Note 11 5" xfId="5497"/>
    <cellStyle name="Note 110" xfId="5170"/>
    <cellStyle name="Note 110 2" xfId="10501"/>
    <cellStyle name="Note 111" xfId="5184"/>
    <cellStyle name="Note 111 2" xfId="10515"/>
    <cellStyle name="Note 112" xfId="5198"/>
    <cellStyle name="Note 112 2" xfId="10529"/>
    <cellStyle name="Note 113" xfId="5212"/>
    <cellStyle name="Note 113 2" xfId="10543"/>
    <cellStyle name="Note 114" xfId="5226"/>
    <cellStyle name="Note 114 2" xfId="10557"/>
    <cellStyle name="Note 115" xfId="5240"/>
    <cellStyle name="Note 115 2" xfId="10571"/>
    <cellStyle name="Note 116" xfId="5254"/>
    <cellStyle name="Note 116 2" xfId="10585"/>
    <cellStyle name="Note 117" xfId="5268"/>
    <cellStyle name="Note 117 2" xfId="10599"/>
    <cellStyle name="Note 118" xfId="5282"/>
    <cellStyle name="Note 118 2" xfId="10613"/>
    <cellStyle name="Note 119" xfId="5296"/>
    <cellStyle name="Note 119 2" xfId="10627"/>
    <cellStyle name="Note 12" xfId="173"/>
    <cellStyle name="Note 12 2" xfId="650"/>
    <cellStyle name="Note 12 2 2" xfId="4699"/>
    <cellStyle name="Note 12 2 2 2" xfId="10032"/>
    <cellStyle name="Note 12 2 3" xfId="2844"/>
    <cellStyle name="Note 12 2 3 2" xfId="8178"/>
    <cellStyle name="Note 12 2 4" xfId="5987"/>
    <cellStyle name="Note 12 3" xfId="4700"/>
    <cellStyle name="Note 12 3 2" xfId="10033"/>
    <cellStyle name="Note 12 4" xfId="2843"/>
    <cellStyle name="Note 12 4 2" xfId="8177"/>
    <cellStyle name="Note 12 5" xfId="5511"/>
    <cellStyle name="Note 120" xfId="5310"/>
    <cellStyle name="Note 120 2" xfId="10641"/>
    <cellStyle name="Note 121" xfId="5324"/>
    <cellStyle name="Note 121 2" xfId="10655"/>
    <cellStyle name="Note 122" xfId="5338"/>
    <cellStyle name="Note 122 2" xfId="10669"/>
    <cellStyle name="Note 123" xfId="5357"/>
    <cellStyle name="Note 123 2" xfId="10686"/>
    <cellStyle name="Note 124" xfId="10700"/>
    <cellStyle name="Note 125" xfId="10714"/>
    <cellStyle name="Note 126" xfId="10728"/>
    <cellStyle name="Note 127" xfId="10742"/>
    <cellStyle name="Note 128" xfId="10756"/>
    <cellStyle name="Note 129" xfId="10770"/>
    <cellStyle name="Note 13" xfId="187"/>
    <cellStyle name="Note 13 2" xfId="664"/>
    <cellStyle name="Note 13 2 2" xfId="4701"/>
    <cellStyle name="Note 13 2 2 2" xfId="10034"/>
    <cellStyle name="Note 13 2 3" xfId="2846"/>
    <cellStyle name="Note 13 2 3 2" xfId="8180"/>
    <cellStyle name="Note 13 2 4" xfId="6001"/>
    <cellStyle name="Note 13 3" xfId="4702"/>
    <cellStyle name="Note 13 3 2" xfId="10035"/>
    <cellStyle name="Note 13 4" xfId="2845"/>
    <cellStyle name="Note 13 4 2" xfId="8179"/>
    <cellStyle name="Note 13 5" xfId="5525"/>
    <cellStyle name="Note 130" xfId="10785"/>
    <cellStyle name="Note 131" xfId="10799"/>
    <cellStyle name="Note 132" xfId="10813"/>
    <cellStyle name="Note 133" xfId="10827"/>
    <cellStyle name="Note 134" xfId="10841"/>
    <cellStyle name="Note 135" xfId="10855"/>
    <cellStyle name="Note 136" xfId="10869"/>
    <cellStyle name="Note 137" xfId="10883"/>
    <cellStyle name="Note 138" xfId="10897"/>
    <cellStyle name="Note 139" xfId="10911"/>
    <cellStyle name="Note 14" xfId="201"/>
    <cellStyle name="Note 14 2" xfId="678"/>
    <cellStyle name="Note 14 2 2" xfId="4703"/>
    <cellStyle name="Note 14 2 2 2" xfId="10036"/>
    <cellStyle name="Note 14 2 3" xfId="2848"/>
    <cellStyle name="Note 14 2 3 2" xfId="8182"/>
    <cellStyle name="Note 14 2 4" xfId="6015"/>
    <cellStyle name="Note 14 3" xfId="4704"/>
    <cellStyle name="Note 14 3 2" xfId="10037"/>
    <cellStyle name="Note 14 4" xfId="2847"/>
    <cellStyle name="Note 14 4 2" xfId="8181"/>
    <cellStyle name="Note 14 5" xfId="5539"/>
    <cellStyle name="Note 140" xfId="10925"/>
    <cellStyle name="Note 141" xfId="10939"/>
    <cellStyle name="Note 142" xfId="10953"/>
    <cellStyle name="Note 143" xfId="10967"/>
    <cellStyle name="Note 144" xfId="10981"/>
    <cellStyle name="Note 145" xfId="10995"/>
    <cellStyle name="Note 146" xfId="11009"/>
    <cellStyle name="Note 147" xfId="11023"/>
    <cellStyle name="Note 148" xfId="11037"/>
    <cellStyle name="Note 149" xfId="11051"/>
    <cellStyle name="Note 15" xfId="215"/>
    <cellStyle name="Note 15 2" xfId="692"/>
    <cellStyle name="Note 15 2 2" xfId="4705"/>
    <cellStyle name="Note 15 2 2 2" xfId="10038"/>
    <cellStyle name="Note 15 2 3" xfId="2850"/>
    <cellStyle name="Note 15 2 3 2" xfId="8184"/>
    <cellStyle name="Note 15 2 4" xfId="6029"/>
    <cellStyle name="Note 15 3" xfId="4706"/>
    <cellStyle name="Note 15 3 2" xfId="10039"/>
    <cellStyle name="Note 15 4" xfId="2849"/>
    <cellStyle name="Note 15 4 2" xfId="8183"/>
    <cellStyle name="Note 15 5" xfId="5553"/>
    <cellStyle name="Note 16" xfId="229"/>
    <cellStyle name="Note 16 2" xfId="706"/>
    <cellStyle name="Note 16 2 2" xfId="4707"/>
    <cellStyle name="Note 16 2 2 2" xfId="10040"/>
    <cellStyle name="Note 16 2 3" xfId="2852"/>
    <cellStyle name="Note 16 2 3 2" xfId="8186"/>
    <cellStyle name="Note 16 2 4" xfId="6043"/>
    <cellStyle name="Note 16 3" xfId="4708"/>
    <cellStyle name="Note 16 3 2" xfId="10041"/>
    <cellStyle name="Note 16 4" xfId="2851"/>
    <cellStyle name="Note 16 4 2" xfId="8185"/>
    <cellStyle name="Note 16 5" xfId="5567"/>
    <cellStyle name="Note 17" xfId="243"/>
    <cellStyle name="Note 17 2" xfId="720"/>
    <cellStyle name="Note 17 2 2" xfId="4709"/>
    <cellStyle name="Note 17 2 2 2" xfId="10042"/>
    <cellStyle name="Note 17 2 3" xfId="2854"/>
    <cellStyle name="Note 17 2 3 2" xfId="8188"/>
    <cellStyle name="Note 17 2 4" xfId="6057"/>
    <cellStyle name="Note 17 3" xfId="4710"/>
    <cellStyle name="Note 17 3 2" xfId="10043"/>
    <cellStyle name="Note 17 4" xfId="2853"/>
    <cellStyle name="Note 17 4 2" xfId="8187"/>
    <cellStyle name="Note 17 5" xfId="5581"/>
    <cellStyle name="Note 18" xfId="257"/>
    <cellStyle name="Note 18 2" xfId="734"/>
    <cellStyle name="Note 18 2 2" xfId="4711"/>
    <cellStyle name="Note 18 2 2 2" xfId="10044"/>
    <cellStyle name="Note 18 2 3" xfId="2856"/>
    <cellStyle name="Note 18 2 3 2" xfId="8190"/>
    <cellStyle name="Note 18 2 4" xfId="6071"/>
    <cellStyle name="Note 18 3" xfId="4712"/>
    <cellStyle name="Note 18 3 2" xfId="10045"/>
    <cellStyle name="Note 18 4" xfId="2855"/>
    <cellStyle name="Note 18 4 2" xfId="8189"/>
    <cellStyle name="Note 18 5" xfId="5595"/>
    <cellStyle name="Note 19" xfId="271"/>
    <cellStyle name="Note 19 2" xfId="748"/>
    <cellStyle name="Note 19 2 2" xfId="4713"/>
    <cellStyle name="Note 19 2 2 2" xfId="10046"/>
    <cellStyle name="Note 19 2 3" xfId="2858"/>
    <cellStyle name="Note 19 2 3 2" xfId="8192"/>
    <cellStyle name="Note 19 2 4" xfId="6085"/>
    <cellStyle name="Note 19 3" xfId="4714"/>
    <cellStyle name="Note 19 3 2" xfId="10047"/>
    <cellStyle name="Note 19 4" xfId="2857"/>
    <cellStyle name="Note 19 4 2" xfId="8191"/>
    <cellStyle name="Note 19 5" xfId="5609"/>
    <cellStyle name="Note 2" xfId="40"/>
    <cellStyle name="Note 2 2" xfId="522"/>
    <cellStyle name="Note 2 2 2" xfId="4715"/>
    <cellStyle name="Note 2 2 2 2" xfId="10048"/>
    <cellStyle name="Note 2 2 3" xfId="2860"/>
    <cellStyle name="Note 2 2 3 2" xfId="8194"/>
    <cellStyle name="Note 2 2 4" xfId="5859"/>
    <cellStyle name="Note 2 3" xfId="4716"/>
    <cellStyle name="Note 2 3 2" xfId="10049"/>
    <cellStyle name="Note 2 4" xfId="2859"/>
    <cellStyle name="Note 2 4 2" xfId="8193"/>
    <cellStyle name="Note 2 5" xfId="5383"/>
    <cellStyle name="Note 20" xfId="285"/>
    <cellStyle name="Note 20 2" xfId="762"/>
    <cellStyle name="Note 20 2 2" xfId="4717"/>
    <cellStyle name="Note 20 2 2 2" xfId="10050"/>
    <cellStyle name="Note 20 2 3" xfId="2862"/>
    <cellStyle name="Note 20 2 3 2" xfId="8196"/>
    <cellStyle name="Note 20 2 4" xfId="6099"/>
    <cellStyle name="Note 20 3" xfId="4718"/>
    <cellStyle name="Note 20 3 2" xfId="10051"/>
    <cellStyle name="Note 20 4" xfId="2861"/>
    <cellStyle name="Note 20 4 2" xfId="8195"/>
    <cellStyle name="Note 20 5" xfId="5623"/>
    <cellStyle name="Note 21" xfId="299"/>
    <cellStyle name="Note 21 2" xfId="776"/>
    <cellStyle name="Note 21 2 2" xfId="4719"/>
    <cellStyle name="Note 21 2 2 2" xfId="10052"/>
    <cellStyle name="Note 21 2 3" xfId="2864"/>
    <cellStyle name="Note 21 2 3 2" xfId="8198"/>
    <cellStyle name="Note 21 2 4" xfId="6113"/>
    <cellStyle name="Note 21 3" xfId="4720"/>
    <cellStyle name="Note 21 3 2" xfId="10053"/>
    <cellStyle name="Note 21 4" xfId="2863"/>
    <cellStyle name="Note 21 4 2" xfId="8197"/>
    <cellStyle name="Note 21 5" xfId="5637"/>
    <cellStyle name="Note 22" xfId="314"/>
    <cellStyle name="Note 22 2" xfId="791"/>
    <cellStyle name="Note 22 2 2" xfId="4721"/>
    <cellStyle name="Note 22 2 2 2" xfId="10054"/>
    <cellStyle name="Note 22 2 3" xfId="2866"/>
    <cellStyle name="Note 22 2 3 2" xfId="8200"/>
    <cellStyle name="Note 22 2 4" xfId="6127"/>
    <cellStyle name="Note 22 3" xfId="4722"/>
    <cellStyle name="Note 22 3 2" xfId="10055"/>
    <cellStyle name="Note 22 4" xfId="2865"/>
    <cellStyle name="Note 22 4 2" xfId="8199"/>
    <cellStyle name="Note 22 5" xfId="5651"/>
    <cellStyle name="Note 23" xfId="328"/>
    <cellStyle name="Note 23 2" xfId="805"/>
    <cellStyle name="Note 23 2 2" xfId="4723"/>
    <cellStyle name="Note 23 2 2 2" xfId="10056"/>
    <cellStyle name="Note 23 2 3" xfId="2868"/>
    <cellStyle name="Note 23 2 3 2" xfId="8202"/>
    <cellStyle name="Note 23 2 4" xfId="6141"/>
    <cellStyle name="Note 23 3" xfId="4724"/>
    <cellStyle name="Note 23 3 2" xfId="10057"/>
    <cellStyle name="Note 23 4" xfId="2867"/>
    <cellStyle name="Note 23 4 2" xfId="8201"/>
    <cellStyle name="Note 23 5" xfId="5665"/>
    <cellStyle name="Note 24" xfId="342"/>
    <cellStyle name="Note 24 2" xfId="819"/>
    <cellStyle name="Note 24 2 2" xfId="4725"/>
    <cellStyle name="Note 24 2 2 2" xfId="10058"/>
    <cellStyle name="Note 24 2 3" xfId="2870"/>
    <cellStyle name="Note 24 2 3 2" xfId="8204"/>
    <cellStyle name="Note 24 2 4" xfId="6155"/>
    <cellStyle name="Note 24 3" xfId="4726"/>
    <cellStyle name="Note 24 3 2" xfId="10059"/>
    <cellStyle name="Note 24 4" xfId="2869"/>
    <cellStyle name="Note 24 4 2" xfId="8203"/>
    <cellStyle name="Note 24 5" xfId="5679"/>
    <cellStyle name="Note 25" xfId="356"/>
    <cellStyle name="Note 25 2" xfId="833"/>
    <cellStyle name="Note 25 2 2" xfId="4727"/>
    <cellStyle name="Note 25 2 2 2" xfId="10060"/>
    <cellStyle name="Note 25 2 3" xfId="2872"/>
    <cellStyle name="Note 25 2 3 2" xfId="8206"/>
    <cellStyle name="Note 25 2 4" xfId="6169"/>
    <cellStyle name="Note 25 3" xfId="4728"/>
    <cellStyle name="Note 25 3 2" xfId="10061"/>
    <cellStyle name="Note 25 4" xfId="2871"/>
    <cellStyle name="Note 25 4 2" xfId="8205"/>
    <cellStyle name="Note 25 5" xfId="5693"/>
    <cellStyle name="Note 26" xfId="370"/>
    <cellStyle name="Note 26 2" xfId="847"/>
    <cellStyle name="Note 26 2 2" xfId="4729"/>
    <cellStyle name="Note 26 2 2 2" xfId="10062"/>
    <cellStyle name="Note 26 2 3" xfId="2874"/>
    <cellStyle name="Note 26 2 3 2" xfId="8208"/>
    <cellStyle name="Note 26 2 4" xfId="6183"/>
    <cellStyle name="Note 26 3" xfId="4730"/>
    <cellStyle name="Note 26 3 2" xfId="10063"/>
    <cellStyle name="Note 26 4" xfId="2873"/>
    <cellStyle name="Note 26 4 2" xfId="8207"/>
    <cellStyle name="Note 26 5" xfId="5707"/>
    <cellStyle name="Note 27" xfId="384"/>
    <cellStyle name="Note 27 2" xfId="861"/>
    <cellStyle name="Note 27 2 2" xfId="4731"/>
    <cellStyle name="Note 27 2 2 2" xfId="10064"/>
    <cellStyle name="Note 27 2 3" xfId="2876"/>
    <cellStyle name="Note 27 2 3 2" xfId="8210"/>
    <cellStyle name="Note 27 2 4" xfId="6197"/>
    <cellStyle name="Note 27 3" xfId="4732"/>
    <cellStyle name="Note 27 3 2" xfId="10065"/>
    <cellStyle name="Note 27 4" xfId="2875"/>
    <cellStyle name="Note 27 4 2" xfId="8209"/>
    <cellStyle name="Note 27 5" xfId="5721"/>
    <cellStyle name="Note 28" xfId="398"/>
    <cellStyle name="Note 28 2" xfId="875"/>
    <cellStyle name="Note 28 2 2" xfId="4733"/>
    <cellStyle name="Note 28 2 2 2" xfId="10066"/>
    <cellStyle name="Note 28 2 3" xfId="2878"/>
    <cellStyle name="Note 28 2 3 2" xfId="8212"/>
    <cellStyle name="Note 28 2 4" xfId="6211"/>
    <cellStyle name="Note 28 3" xfId="4734"/>
    <cellStyle name="Note 28 3 2" xfId="10067"/>
    <cellStyle name="Note 28 4" xfId="2877"/>
    <cellStyle name="Note 28 4 2" xfId="8211"/>
    <cellStyle name="Note 28 5" xfId="5735"/>
    <cellStyle name="Note 29" xfId="412"/>
    <cellStyle name="Note 29 2" xfId="889"/>
    <cellStyle name="Note 29 2 2" xfId="4735"/>
    <cellStyle name="Note 29 2 2 2" xfId="10068"/>
    <cellStyle name="Note 29 2 3" xfId="2880"/>
    <cellStyle name="Note 29 2 3 2" xfId="8214"/>
    <cellStyle name="Note 29 2 4" xfId="6225"/>
    <cellStyle name="Note 29 3" xfId="4736"/>
    <cellStyle name="Note 29 3 2" xfId="10069"/>
    <cellStyle name="Note 29 4" xfId="2879"/>
    <cellStyle name="Note 29 4 2" xfId="8213"/>
    <cellStyle name="Note 29 5" xfId="5749"/>
    <cellStyle name="Note 3" xfId="47"/>
    <cellStyle name="Note 3 2" xfId="524"/>
    <cellStyle name="Note 3 2 2" xfId="4737"/>
    <cellStyle name="Note 3 2 2 2" xfId="10070"/>
    <cellStyle name="Note 3 2 3" xfId="2882"/>
    <cellStyle name="Note 3 2 3 2" xfId="8216"/>
    <cellStyle name="Note 3 2 4" xfId="5861"/>
    <cellStyle name="Note 3 3" xfId="4738"/>
    <cellStyle name="Note 3 3 2" xfId="10071"/>
    <cellStyle name="Note 3 4" xfId="2881"/>
    <cellStyle name="Note 3 4 2" xfId="8215"/>
    <cellStyle name="Note 3 5" xfId="5385"/>
    <cellStyle name="Note 30" xfId="426"/>
    <cellStyle name="Note 30 2" xfId="903"/>
    <cellStyle name="Note 30 2 2" xfId="4739"/>
    <cellStyle name="Note 30 2 2 2" xfId="10072"/>
    <cellStyle name="Note 30 2 3" xfId="2884"/>
    <cellStyle name="Note 30 2 3 2" xfId="8218"/>
    <cellStyle name="Note 30 2 4" xfId="6239"/>
    <cellStyle name="Note 30 3" xfId="4740"/>
    <cellStyle name="Note 30 3 2" xfId="10073"/>
    <cellStyle name="Note 30 4" xfId="2883"/>
    <cellStyle name="Note 30 4 2" xfId="8217"/>
    <cellStyle name="Note 30 5" xfId="5763"/>
    <cellStyle name="Note 31" xfId="440"/>
    <cellStyle name="Note 31 2" xfId="917"/>
    <cellStyle name="Note 31 2 2" xfId="4741"/>
    <cellStyle name="Note 31 2 2 2" xfId="10074"/>
    <cellStyle name="Note 31 2 3" xfId="2886"/>
    <cellStyle name="Note 31 2 3 2" xfId="8220"/>
    <cellStyle name="Note 31 2 4" xfId="6253"/>
    <cellStyle name="Note 31 3" xfId="4742"/>
    <cellStyle name="Note 31 3 2" xfId="10075"/>
    <cellStyle name="Note 31 4" xfId="2885"/>
    <cellStyle name="Note 31 4 2" xfId="8219"/>
    <cellStyle name="Note 31 5" xfId="5777"/>
    <cellStyle name="Note 32" xfId="454"/>
    <cellStyle name="Note 32 2" xfId="931"/>
    <cellStyle name="Note 32 2 2" xfId="4743"/>
    <cellStyle name="Note 32 2 2 2" xfId="10076"/>
    <cellStyle name="Note 32 2 3" xfId="2888"/>
    <cellStyle name="Note 32 2 3 2" xfId="8222"/>
    <cellStyle name="Note 32 2 4" xfId="6267"/>
    <cellStyle name="Note 32 3" xfId="4744"/>
    <cellStyle name="Note 32 3 2" xfId="10077"/>
    <cellStyle name="Note 32 4" xfId="2887"/>
    <cellStyle name="Note 32 4 2" xfId="8221"/>
    <cellStyle name="Note 32 5" xfId="5791"/>
    <cellStyle name="Note 33" xfId="468"/>
    <cellStyle name="Note 33 2" xfId="945"/>
    <cellStyle name="Note 33 2 2" xfId="4745"/>
    <cellStyle name="Note 33 2 2 2" xfId="10078"/>
    <cellStyle name="Note 33 2 3" xfId="2890"/>
    <cellStyle name="Note 33 2 3 2" xfId="8224"/>
    <cellStyle name="Note 33 2 4" xfId="6281"/>
    <cellStyle name="Note 33 3" xfId="4746"/>
    <cellStyle name="Note 33 3 2" xfId="10079"/>
    <cellStyle name="Note 33 4" xfId="2889"/>
    <cellStyle name="Note 33 4 2" xfId="8223"/>
    <cellStyle name="Note 33 5" xfId="5805"/>
    <cellStyle name="Note 34" xfId="482"/>
    <cellStyle name="Note 34 2" xfId="959"/>
    <cellStyle name="Note 34 2 2" xfId="4747"/>
    <cellStyle name="Note 34 2 2 2" xfId="10080"/>
    <cellStyle name="Note 34 2 3" xfId="2892"/>
    <cellStyle name="Note 34 2 3 2" xfId="8226"/>
    <cellStyle name="Note 34 2 4" xfId="6295"/>
    <cellStyle name="Note 34 3" xfId="4748"/>
    <cellStyle name="Note 34 3 2" xfId="10081"/>
    <cellStyle name="Note 34 4" xfId="2891"/>
    <cellStyle name="Note 34 4 2" xfId="8225"/>
    <cellStyle name="Note 34 5" xfId="5819"/>
    <cellStyle name="Note 35" xfId="496"/>
    <cellStyle name="Note 35 2" xfId="973"/>
    <cellStyle name="Note 35 2 2" xfId="4749"/>
    <cellStyle name="Note 35 2 2 2" xfId="10082"/>
    <cellStyle name="Note 35 2 3" xfId="2894"/>
    <cellStyle name="Note 35 2 3 2" xfId="8228"/>
    <cellStyle name="Note 35 2 4" xfId="6309"/>
    <cellStyle name="Note 35 3" xfId="4750"/>
    <cellStyle name="Note 35 3 2" xfId="10083"/>
    <cellStyle name="Note 35 4" xfId="2893"/>
    <cellStyle name="Note 35 4 2" xfId="8227"/>
    <cellStyle name="Note 35 5" xfId="5833"/>
    <cellStyle name="Note 36" xfId="987"/>
    <cellStyle name="Note 36 2" xfId="4751"/>
    <cellStyle name="Note 36 2 2" xfId="10084"/>
    <cellStyle name="Note 36 3" xfId="2895"/>
    <cellStyle name="Note 36 3 2" xfId="8229"/>
    <cellStyle name="Note 36 4" xfId="6323"/>
    <cellStyle name="Note 37" xfId="1001"/>
    <cellStyle name="Note 37 2" xfId="4752"/>
    <cellStyle name="Note 37 2 2" xfId="10085"/>
    <cellStyle name="Note 37 3" xfId="2896"/>
    <cellStyle name="Note 37 3 2" xfId="8230"/>
    <cellStyle name="Note 37 4" xfId="6337"/>
    <cellStyle name="Note 38" xfId="1015"/>
    <cellStyle name="Note 38 2" xfId="4753"/>
    <cellStyle name="Note 38 2 2" xfId="10086"/>
    <cellStyle name="Note 38 3" xfId="2897"/>
    <cellStyle name="Note 38 3 2" xfId="8231"/>
    <cellStyle name="Note 38 4" xfId="6351"/>
    <cellStyle name="Note 39" xfId="1029"/>
    <cellStyle name="Note 39 2" xfId="4754"/>
    <cellStyle name="Note 39 2 2" xfId="10087"/>
    <cellStyle name="Note 39 3" xfId="2911"/>
    <cellStyle name="Note 39 3 2" xfId="8245"/>
    <cellStyle name="Note 39 4" xfId="6365"/>
    <cellStyle name="Note 4" xfId="61"/>
    <cellStyle name="Note 4 2" xfId="538"/>
    <cellStyle name="Note 4 2 2" xfId="4755"/>
    <cellStyle name="Note 4 2 2 2" xfId="10088"/>
    <cellStyle name="Note 4 2 3" xfId="2899"/>
    <cellStyle name="Note 4 2 3 2" xfId="8233"/>
    <cellStyle name="Note 4 2 4" xfId="5875"/>
    <cellStyle name="Note 4 3" xfId="4756"/>
    <cellStyle name="Note 4 3 2" xfId="10089"/>
    <cellStyle name="Note 4 4" xfId="2898"/>
    <cellStyle name="Note 4 4 2" xfId="8232"/>
    <cellStyle name="Note 4 5" xfId="5399"/>
    <cellStyle name="Note 40" xfId="1043"/>
    <cellStyle name="Note 40 2" xfId="4757"/>
    <cellStyle name="Note 40 2 2" xfId="10090"/>
    <cellStyle name="Note 40 3" xfId="3392"/>
    <cellStyle name="Note 40 3 2" xfId="8726"/>
    <cellStyle name="Note 40 4" xfId="6379"/>
    <cellStyle name="Note 41" xfId="1057"/>
    <cellStyle name="Note 41 2" xfId="4758"/>
    <cellStyle name="Note 41 2 2" xfId="10091"/>
    <cellStyle name="Note 41 3" xfId="3393"/>
    <cellStyle name="Note 41 3 2" xfId="8727"/>
    <cellStyle name="Note 41 4" xfId="6393"/>
    <cellStyle name="Note 42" xfId="1071"/>
    <cellStyle name="Note 42 2" xfId="4759"/>
    <cellStyle name="Note 42 2 2" xfId="10092"/>
    <cellStyle name="Note 42 3" xfId="3394"/>
    <cellStyle name="Note 42 3 2" xfId="8728"/>
    <cellStyle name="Note 42 4" xfId="6407"/>
    <cellStyle name="Note 43" xfId="1085"/>
    <cellStyle name="Note 43 2" xfId="4760"/>
    <cellStyle name="Note 43 2 2" xfId="10093"/>
    <cellStyle name="Note 43 3" xfId="3395"/>
    <cellStyle name="Note 43 3 2" xfId="8729"/>
    <cellStyle name="Note 43 4" xfId="6421"/>
    <cellStyle name="Note 44" xfId="1099"/>
    <cellStyle name="Note 44 2" xfId="4761"/>
    <cellStyle name="Note 44 2 2" xfId="10094"/>
    <cellStyle name="Note 44 3" xfId="3396"/>
    <cellStyle name="Note 44 3 2" xfId="8730"/>
    <cellStyle name="Note 44 4" xfId="6435"/>
    <cellStyle name="Note 45" xfId="1113"/>
    <cellStyle name="Note 45 2" xfId="4762"/>
    <cellStyle name="Note 45 2 2" xfId="10095"/>
    <cellStyle name="Note 45 3" xfId="3397"/>
    <cellStyle name="Note 45 3 2" xfId="8731"/>
    <cellStyle name="Note 45 4" xfId="6449"/>
    <cellStyle name="Note 46" xfId="1127"/>
    <cellStyle name="Note 46 2" xfId="4763"/>
    <cellStyle name="Note 46 2 2" xfId="10096"/>
    <cellStyle name="Note 46 3" xfId="3398"/>
    <cellStyle name="Note 46 3 2" xfId="8732"/>
    <cellStyle name="Note 46 4" xfId="6463"/>
    <cellStyle name="Note 47" xfId="1141"/>
    <cellStyle name="Note 47 2" xfId="4764"/>
    <cellStyle name="Note 47 2 2" xfId="10097"/>
    <cellStyle name="Note 47 3" xfId="3399"/>
    <cellStyle name="Note 47 3 2" xfId="8733"/>
    <cellStyle name="Note 47 4" xfId="6477"/>
    <cellStyle name="Note 48" xfId="1155"/>
    <cellStyle name="Note 48 2" xfId="4765"/>
    <cellStyle name="Note 48 2 2" xfId="10098"/>
    <cellStyle name="Note 48 3" xfId="3400"/>
    <cellStyle name="Note 48 3 2" xfId="8734"/>
    <cellStyle name="Note 48 4" xfId="6491"/>
    <cellStyle name="Note 49" xfId="1169"/>
    <cellStyle name="Note 49 2" xfId="4766"/>
    <cellStyle name="Note 49 2 2" xfId="10099"/>
    <cellStyle name="Note 49 3" xfId="3401"/>
    <cellStyle name="Note 49 3 2" xfId="8735"/>
    <cellStyle name="Note 49 4" xfId="6505"/>
    <cellStyle name="Note 5" xfId="75"/>
    <cellStyle name="Note 5 2" xfId="552"/>
    <cellStyle name="Note 5 2 2" xfId="4767"/>
    <cellStyle name="Note 5 2 2 2" xfId="10100"/>
    <cellStyle name="Note 5 2 3" xfId="2901"/>
    <cellStyle name="Note 5 2 3 2" xfId="8235"/>
    <cellStyle name="Note 5 2 4" xfId="5889"/>
    <cellStyle name="Note 5 3" xfId="4768"/>
    <cellStyle name="Note 5 3 2" xfId="10101"/>
    <cellStyle name="Note 5 4" xfId="2900"/>
    <cellStyle name="Note 5 4 2" xfId="8234"/>
    <cellStyle name="Note 5 5" xfId="5413"/>
    <cellStyle name="Note 50" xfId="1183"/>
    <cellStyle name="Note 50 2" xfId="4769"/>
    <cellStyle name="Note 50 2 2" xfId="10102"/>
    <cellStyle name="Note 50 3" xfId="3402"/>
    <cellStyle name="Note 50 3 2" xfId="8736"/>
    <cellStyle name="Note 50 4" xfId="6519"/>
    <cellStyle name="Note 51" xfId="1197"/>
    <cellStyle name="Note 51 2" xfId="4770"/>
    <cellStyle name="Note 51 2 2" xfId="10103"/>
    <cellStyle name="Note 51 3" xfId="3403"/>
    <cellStyle name="Note 51 3 2" xfId="8737"/>
    <cellStyle name="Note 51 4" xfId="6533"/>
    <cellStyle name="Note 52" xfId="1211"/>
    <cellStyle name="Note 52 2" xfId="4771"/>
    <cellStyle name="Note 52 2 2" xfId="10104"/>
    <cellStyle name="Note 52 3" xfId="3404"/>
    <cellStyle name="Note 52 3 2" xfId="8738"/>
    <cellStyle name="Note 52 4" xfId="6547"/>
    <cellStyle name="Note 53" xfId="1225"/>
    <cellStyle name="Note 53 2" xfId="4772"/>
    <cellStyle name="Note 53 2 2" xfId="10105"/>
    <cellStyle name="Note 53 3" xfId="3405"/>
    <cellStyle name="Note 53 3 2" xfId="8739"/>
    <cellStyle name="Note 53 4" xfId="6561"/>
    <cellStyle name="Note 54" xfId="1239"/>
    <cellStyle name="Note 54 2" xfId="4773"/>
    <cellStyle name="Note 54 2 2" xfId="10106"/>
    <cellStyle name="Note 54 3" xfId="3406"/>
    <cellStyle name="Note 54 3 2" xfId="8740"/>
    <cellStyle name="Note 54 4" xfId="6575"/>
    <cellStyle name="Note 55" xfId="1253"/>
    <cellStyle name="Note 55 2" xfId="4774"/>
    <cellStyle name="Note 55 2 2" xfId="10107"/>
    <cellStyle name="Note 55 3" xfId="3407"/>
    <cellStyle name="Note 55 3 2" xfId="8741"/>
    <cellStyle name="Note 55 4" xfId="6589"/>
    <cellStyle name="Note 56" xfId="1267"/>
    <cellStyle name="Note 56 2" xfId="4775"/>
    <cellStyle name="Note 56 2 2" xfId="10108"/>
    <cellStyle name="Note 56 3" xfId="3408"/>
    <cellStyle name="Note 56 3 2" xfId="8742"/>
    <cellStyle name="Note 56 4" xfId="6603"/>
    <cellStyle name="Note 57" xfId="1281"/>
    <cellStyle name="Note 57 2" xfId="4776"/>
    <cellStyle name="Note 57 2 2" xfId="10109"/>
    <cellStyle name="Note 57 3" xfId="3409"/>
    <cellStyle name="Note 57 3 2" xfId="8743"/>
    <cellStyle name="Note 57 4" xfId="6617"/>
    <cellStyle name="Note 58" xfId="1295"/>
    <cellStyle name="Note 58 2" xfId="4777"/>
    <cellStyle name="Note 58 2 2" xfId="10110"/>
    <cellStyle name="Note 58 3" xfId="3410"/>
    <cellStyle name="Note 58 3 2" xfId="8744"/>
    <cellStyle name="Note 58 4" xfId="6631"/>
    <cellStyle name="Note 59" xfId="1309"/>
    <cellStyle name="Note 59 2" xfId="4778"/>
    <cellStyle name="Note 59 2 2" xfId="10111"/>
    <cellStyle name="Note 59 3" xfId="3411"/>
    <cellStyle name="Note 59 3 2" xfId="8745"/>
    <cellStyle name="Note 59 4" xfId="6645"/>
    <cellStyle name="Note 6" xfId="89"/>
    <cellStyle name="Note 6 2" xfId="566"/>
    <cellStyle name="Note 6 2 2" xfId="4779"/>
    <cellStyle name="Note 6 2 2 2" xfId="10112"/>
    <cellStyle name="Note 6 2 3" xfId="2903"/>
    <cellStyle name="Note 6 2 3 2" xfId="8237"/>
    <cellStyle name="Note 6 2 4" xfId="5903"/>
    <cellStyle name="Note 6 3" xfId="4780"/>
    <cellStyle name="Note 6 3 2" xfId="10113"/>
    <cellStyle name="Note 6 4" xfId="2902"/>
    <cellStyle name="Note 6 4 2" xfId="8236"/>
    <cellStyle name="Note 6 5" xfId="5427"/>
    <cellStyle name="Note 60" xfId="1323"/>
    <cellStyle name="Note 60 2" xfId="4781"/>
    <cellStyle name="Note 60 2 2" xfId="10114"/>
    <cellStyle name="Note 60 3" xfId="3412"/>
    <cellStyle name="Note 60 3 2" xfId="8746"/>
    <cellStyle name="Note 60 4" xfId="6659"/>
    <cellStyle name="Note 61" xfId="1337"/>
    <cellStyle name="Note 61 2" xfId="4782"/>
    <cellStyle name="Note 61 2 2" xfId="10115"/>
    <cellStyle name="Note 61 3" xfId="3413"/>
    <cellStyle name="Note 61 3 2" xfId="8747"/>
    <cellStyle name="Note 61 4" xfId="6673"/>
    <cellStyle name="Note 62" xfId="1351"/>
    <cellStyle name="Note 62 2" xfId="3414"/>
    <cellStyle name="Note 62 2 2" xfId="8748"/>
    <cellStyle name="Note 62 3" xfId="6687"/>
    <cellStyle name="Note 63" xfId="1365"/>
    <cellStyle name="Note 63 2" xfId="3415"/>
    <cellStyle name="Note 63 2 2" xfId="8749"/>
    <cellStyle name="Note 63 3" xfId="6701"/>
    <cellStyle name="Note 64" xfId="1379"/>
    <cellStyle name="Note 64 2" xfId="3416"/>
    <cellStyle name="Note 64 2 2" xfId="8750"/>
    <cellStyle name="Note 64 3" xfId="6715"/>
    <cellStyle name="Note 65" xfId="1393"/>
    <cellStyle name="Note 65 2" xfId="3417"/>
    <cellStyle name="Note 65 2 2" xfId="8751"/>
    <cellStyle name="Note 65 3" xfId="6729"/>
    <cellStyle name="Note 66" xfId="1407"/>
    <cellStyle name="Note 66 2" xfId="3418"/>
    <cellStyle name="Note 66 2 2" xfId="8752"/>
    <cellStyle name="Note 66 3" xfId="6743"/>
    <cellStyle name="Note 67" xfId="1421"/>
    <cellStyle name="Note 67 2" xfId="3419"/>
    <cellStyle name="Note 67 2 2" xfId="8753"/>
    <cellStyle name="Note 67 3" xfId="6757"/>
    <cellStyle name="Note 68" xfId="1435"/>
    <cellStyle name="Note 68 2" xfId="3420"/>
    <cellStyle name="Note 68 2 2" xfId="8754"/>
    <cellStyle name="Note 68 3" xfId="6771"/>
    <cellStyle name="Note 69" xfId="1449"/>
    <cellStyle name="Note 69 2" xfId="3421"/>
    <cellStyle name="Note 69 2 2" xfId="8755"/>
    <cellStyle name="Note 69 3" xfId="6785"/>
    <cellStyle name="Note 7" xfId="103"/>
    <cellStyle name="Note 7 2" xfId="580"/>
    <cellStyle name="Note 7 2 2" xfId="4783"/>
    <cellStyle name="Note 7 2 2 2" xfId="10116"/>
    <cellStyle name="Note 7 2 3" xfId="2905"/>
    <cellStyle name="Note 7 2 3 2" xfId="8239"/>
    <cellStyle name="Note 7 2 4" xfId="5917"/>
    <cellStyle name="Note 7 3" xfId="4784"/>
    <cellStyle name="Note 7 3 2" xfId="10117"/>
    <cellStyle name="Note 7 4" xfId="2904"/>
    <cellStyle name="Note 7 4 2" xfId="8238"/>
    <cellStyle name="Note 7 5" xfId="5441"/>
    <cellStyle name="Note 70" xfId="1463"/>
    <cellStyle name="Note 70 2" xfId="3422"/>
    <cellStyle name="Note 70 2 2" xfId="8756"/>
    <cellStyle name="Note 70 3" xfId="6799"/>
    <cellStyle name="Note 71" xfId="1477"/>
    <cellStyle name="Note 71 2" xfId="3423"/>
    <cellStyle name="Note 71 2 2" xfId="8757"/>
    <cellStyle name="Note 71 3" xfId="6813"/>
    <cellStyle name="Note 72" xfId="1491"/>
    <cellStyle name="Note 72 2" xfId="3424"/>
    <cellStyle name="Note 72 2 2" xfId="8758"/>
    <cellStyle name="Note 72 3" xfId="6827"/>
    <cellStyle name="Note 73" xfId="1505"/>
    <cellStyle name="Note 73 2" xfId="3425"/>
    <cellStyle name="Note 73 2 2" xfId="8759"/>
    <cellStyle name="Note 73 3" xfId="6841"/>
    <cellStyle name="Note 74" xfId="1519"/>
    <cellStyle name="Note 74 2" xfId="3426"/>
    <cellStyle name="Note 74 2 2" xfId="8760"/>
    <cellStyle name="Note 74 3" xfId="6855"/>
    <cellStyle name="Note 75" xfId="1533"/>
    <cellStyle name="Note 75 2" xfId="3427"/>
    <cellStyle name="Note 75 2 2" xfId="8761"/>
    <cellStyle name="Note 75 3" xfId="6869"/>
    <cellStyle name="Note 76" xfId="1547"/>
    <cellStyle name="Note 76 2" xfId="3480"/>
    <cellStyle name="Note 76 2 2" xfId="8814"/>
    <cellStyle name="Note 76 3" xfId="6883"/>
    <cellStyle name="Note 77" xfId="1561"/>
    <cellStyle name="Note 77 2" xfId="3481"/>
    <cellStyle name="Note 77 2 2" xfId="8815"/>
    <cellStyle name="Note 77 3" xfId="6897"/>
    <cellStyle name="Note 78" xfId="1575"/>
    <cellStyle name="Note 78 2" xfId="3482"/>
    <cellStyle name="Note 78 2 2" xfId="8816"/>
    <cellStyle name="Note 78 3" xfId="6911"/>
    <cellStyle name="Note 79" xfId="1589"/>
    <cellStyle name="Note 79 2" xfId="3483"/>
    <cellStyle name="Note 79 2 2" xfId="8817"/>
    <cellStyle name="Note 79 3" xfId="6925"/>
    <cellStyle name="Note 8" xfId="117"/>
    <cellStyle name="Note 8 2" xfId="594"/>
    <cellStyle name="Note 8 2 2" xfId="4785"/>
    <cellStyle name="Note 8 2 2 2" xfId="10118"/>
    <cellStyle name="Note 8 2 3" xfId="2907"/>
    <cellStyle name="Note 8 2 3 2" xfId="8241"/>
    <cellStyle name="Note 8 2 4" xfId="5931"/>
    <cellStyle name="Note 8 3" xfId="4786"/>
    <cellStyle name="Note 8 3 2" xfId="10119"/>
    <cellStyle name="Note 8 4" xfId="2906"/>
    <cellStyle name="Note 8 4 2" xfId="8240"/>
    <cellStyle name="Note 8 5" xfId="5455"/>
    <cellStyle name="Note 80" xfId="1603"/>
    <cellStyle name="Note 80 2" xfId="4854"/>
    <cellStyle name="Note 80 2 2" xfId="10187"/>
    <cellStyle name="Note 80 3" xfId="6939"/>
    <cellStyle name="Note 81" xfId="1617"/>
    <cellStyle name="Note 81 2" xfId="4855"/>
    <cellStyle name="Note 81 2 2" xfId="10188"/>
    <cellStyle name="Note 81 3" xfId="6953"/>
    <cellStyle name="Note 82" xfId="1631"/>
    <cellStyle name="Note 82 2" xfId="4856"/>
    <cellStyle name="Note 82 2 2" xfId="10189"/>
    <cellStyle name="Note 82 3" xfId="6967"/>
    <cellStyle name="Note 83" xfId="1645"/>
    <cellStyle name="Note 83 2" xfId="4857"/>
    <cellStyle name="Note 83 2 2" xfId="10190"/>
    <cellStyle name="Note 83 3" xfId="6981"/>
    <cellStyle name="Note 84" xfId="1659"/>
    <cellStyle name="Note 84 2" xfId="4858"/>
    <cellStyle name="Note 84 2 2" xfId="10191"/>
    <cellStyle name="Note 84 3" xfId="6995"/>
    <cellStyle name="Note 85" xfId="1673"/>
    <cellStyle name="Note 85 2" xfId="4898"/>
    <cellStyle name="Note 85 2 2" xfId="10231"/>
    <cellStyle name="Note 85 3" xfId="7009"/>
    <cellStyle name="Note 86" xfId="1687"/>
    <cellStyle name="Note 86 2" xfId="4899"/>
    <cellStyle name="Note 86 2 2" xfId="10232"/>
    <cellStyle name="Note 86 3" xfId="7023"/>
    <cellStyle name="Note 87" xfId="1701"/>
    <cellStyle name="Note 87 2" xfId="4900"/>
    <cellStyle name="Note 87 2 2" xfId="10233"/>
    <cellStyle name="Note 87 3" xfId="7037"/>
    <cellStyle name="Note 88" xfId="1715"/>
    <cellStyle name="Note 88 2" xfId="4979"/>
    <cellStyle name="Note 88 2 2" xfId="10312"/>
    <cellStyle name="Note 88 3" xfId="7051"/>
    <cellStyle name="Note 89" xfId="1729"/>
    <cellStyle name="Note 89 2" xfId="4980"/>
    <cellStyle name="Note 89 2 2" xfId="10313"/>
    <cellStyle name="Note 89 3" xfId="7065"/>
    <cellStyle name="Note 9" xfId="131"/>
    <cellStyle name="Note 9 2" xfId="608"/>
    <cellStyle name="Note 9 2 2" xfId="4787"/>
    <cellStyle name="Note 9 2 2 2" xfId="10120"/>
    <cellStyle name="Note 9 2 3" xfId="2909"/>
    <cellStyle name="Note 9 2 3 2" xfId="8243"/>
    <cellStyle name="Note 9 2 4" xfId="5945"/>
    <cellStyle name="Note 9 3" xfId="4788"/>
    <cellStyle name="Note 9 3 2" xfId="10121"/>
    <cellStyle name="Note 9 4" xfId="2908"/>
    <cellStyle name="Note 9 4 2" xfId="8242"/>
    <cellStyle name="Note 9 5" xfId="5469"/>
    <cellStyle name="Note 90" xfId="1743"/>
    <cellStyle name="Note 90 2" xfId="4981"/>
    <cellStyle name="Note 90 2 2" xfId="10314"/>
    <cellStyle name="Note 90 3" xfId="7079"/>
    <cellStyle name="Note 91" xfId="1757"/>
    <cellStyle name="Note 91 2" xfId="4982"/>
    <cellStyle name="Note 91 2 2" xfId="10315"/>
    <cellStyle name="Note 91 3" xfId="7093"/>
    <cellStyle name="Note 92" xfId="1771"/>
    <cellStyle name="Note 92 2" xfId="4983"/>
    <cellStyle name="Note 92 2 2" xfId="10316"/>
    <cellStyle name="Note 92 3" xfId="7107"/>
    <cellStyle name="Note 93" xfId="1785"/>
    <cellStyle name="Note 93 2" xfId="4984"/>
    <cellStyle name="Note 93 2 2" xfId="10317"/>
    <cellStyle name="Note 93 3" xfId="7121"/>
    <cellStyle name="Note 94" xfId="1799"/>
    <cellStyle name="Note 94 2" xfId="5013"/>
    <cellStyle name="Note 94 2 2" xfId="10344"/>
    <cellStyle name="Note 94 3" xfId="7135"/>
    <cellStyle name="Note 95" xfId="1813"/>
    <cellStyle name="Note 95 2" xfId="5014"/>
    <cellStyle name="Note 95 2 2" xfId="10345"/>
    <cellStyle name="Note 95 3" xfId="7149"/>
    <cellStyle name="Note 96" xfId="1827"/>
    <cellStyle name="Note 96 2" xfId="5067"/>
    <cellStyle name="Note 96 2 2" xfId="10398"/>
    <cellStyle name="Note 96 3" xfId="7163"/>
    <cellStyle name="Note 97" xfId="1841"/>
    <cellStyle name="Note 97 2" xfId="5068"/>
    <cellStyle name="Note 97 2 2" xfId="10399"/>
    <cellStyle name="Note 97 3" xfId="7177"/>
    <cellStyle name="Note 98" xfId="1855"/>
    <cellStyle name="Note 98 2" xfId="5069"/>
    <cellStyle name="Note 98 2 2" xfId="10400"/>
    <cellStyle name="Note 98 3" xfId="7191"/>
    <cellStyle name="Note 99" xfId="1869"/>
    <cellStyle name="Note 99 2" xfId="5070"/>
    <cellStyle name="Note 99 2 2" xfId="10401"/>
    <cellStyle name="Note 99 3" xfId="7205"/>
    <cellStyle name="Output" xfId="41" builtinId="21" customBuiltin="1"/>
    <cellStyle name="Percent" xfId="42" builtinId="5"/>
    <cellStyle name="Percent 2" xfId="1949"/>
    <cellStyle name="Percent 3" xfId="1926"/>
    <cellStyle name="Percent 3 2" xfId="7262"/>
    <cellStyle name="Percent 4" xfId="5353"/>
    <cellStyle name="Percent 4 2" xfId="10683"/>
    <cellStyle name="Title" xfId="43" builtinId="15" customBuiltin="1"/>
    <cellStyle name="Total" xfId="44" builtinId="25" customBuiltin="1"/>
    <cellStyle name="Warning Text" xfId="45" builtinId="11" customBuiltin="1"/>
  </cellStyles>
  <dxfs count="12"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Liquidity</a:t>
            </a:r>
            <a:r>
              <a:rPr lang="en-US" baseline="0"/>
              <a:t> Schedule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'Investment Position'!$A$27</c:f>
              <c:strCache>
                <c:ptCount val="1"/>
                <c:pt idx="0">
                  <c:v>Repurchase Agreements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Position'!$C$27:$H$27</c:f>
              <c:numCache>
                <c:formatCode>_("$"* #,##0_);_("$"* \(#,##0\);_("$"* "-"??_);_(@_)</c:formatCode>
                <c:ptCount val="6"/>
                <c:pt idx="0">
                  <c:v>1490225000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'Investment Position'!$A$28</c:f>
              <c:strCache>
                <c:ptCount val="1"/>
                <c:pt idx="0">
                  <c:v>Commercial Paper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Position'!$C$28:$H$28</c:f>
              <c:numCache>
                <c:formatCode>_(* #,##0_);_(* \(#,##0\);_(* "-"??_);_(@_)</c:formatCode>
                <c:ptCount val="6"/>
                <c:pt idx="0">
                  <c:v>376300000</c:v>
                </c:pt>
                <c:pt idx="1">
                  <c:v>2590000000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'Investment Position'!$A$29</c:f>
              <c:strCache>
                <c:ptCount val="1"/>
                <c:pt idx="0">
                  <c:v>Treasuries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Position'!$C$29:$H$29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2450000000</c:v>
                </c:pt>
                <c:pt idx="2">
                  <c:v>50000000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'Investment Position'!$A$30</c:f>
              <c:strCache>
                <c:ptCount val="1"/>
                <c:pt idx="0">
                  <c:v>Agencies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Position'!$C$30:$H$30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946002000</c:v>
                </c:pt>
                <c:pt idx="2">
                  <c:v>790001000</c:v>
                </c:pt>
                <c:pt idx="3">
                  <c:v>540007000</c:v>
                </c:pt>
                <c:pt idx="4">
                  <c:v>75005000</c:v>
                </c:pt>
                <c:pt idx="5">
                  <c:v>310035000</c:v>
                </c:pt>
              </c:numCache>
            </c:numRef>
          </c:val>
        </c:ser>
        <c:ser>
          <c:idx val="4"/>
          <c:order val="4"/>
          <c:tx>
            <c:strRef>
              <c:f>'Investment Position'!$A$31</c:f>
              <c:strCache>
                <c:ptCount val="1"/>
                <c:pt idx="0">
                  <c:v>Supranational Securities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Position'!$C$31:$H$31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20000000</c:v>
                </c:pt>
                <c:pt idx="2">
                  <c:v>30000000</c:v>
                </c:pt>
                <c:pt idx="3">
                  <c:v>20000000</c:v>
                </c:pt>
                <c:pt idx="4">
                  <c:v>20000000</c:v>
                </c:pt>
                <c:pt idx="5">
                  <c:v>10000000</c:v>
                </c:pt>
              </c:numCache>
            </c:numRef>
          </c:val>
        </c:ser>
        <c:ser>
          <c:idx val="5"/>
          <c:order val="5"/>
          <c:tx>
            <c:strRef>
              <c:f>'Investment Position'!$A$32</c:f>
              <c:strCache>
                <c:ptCount val="1"/>
                <c:pt idx="0">
                  <c:v>Municipal Bonds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Position'!$C$32:$H$32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410000</c:v>
                </c:pt>
                <c:pt idx="5">
                  <c:v>95000</c:v>
                </c:pt>
              </c:numCache>
            </c:numRef>
          </c:val>
        </c:ser>
        <c:ser>
          <c:idx val="6"/>
          <c:order val="6"/>
          <c:tx>
            <c:strRef>
              <c:f>'Investment Position'!$A$34</c:f>
              <c:strCache>
                <c:ptCount val="1"/>
                <c:pt idx="0">
                  <c:v>Foreign Bonds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Position'!$C$34:$H$34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10000000</c:v>
                </c:pt>
                <c:pt idx="2">
                  <c:v>20000000</c:v>
                </c:pt>
                <c:pt idx="3">
                  <c:v>10000000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'Investment Position'!$A$35</c:f>
              <c:strCache>
                <c:ptCount val="1"/>
                <c:pt idx="0">
                  <c:v>IL Funds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Position'!$C$35:$H$35</c:f>
              <c:numCache>
                <c:formatCode>_(* #,##0_);_(* \(#,##0\);_(* "-"??_);_(@_)</c:formatCode>
                <c:ptCount val="6"/>
                <c:pt idx="0">
                  <c:v>543000000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'Investment Position'!$A$36</c:f>
              <c:strCache>
                <c:ptCount val="1"/>
                <c:pt idx="0">
                  <c:v>Money Market</c:v>
                </c:pt>
              </c:strCache>
            </c:strRef>
          </c:tx>
          <c:invertIfNegative val="0"/>
          <c:cat>
            <c:strRef>
              <c:f>'Investment Position'!$C$23:$H$23</c:f>
              <c:strCache>
                <c:ptCount val="6"/>
                <c:pt idx="0">
                  <c:v>Overnight</c:v>
                </c:pt>
                <c:pt idx="1">
                  <c:v>2-365 Days</c:v>
                </c:pt>
                <c:pt idx="2">
                  <c:v>1-2 Years</c:v>
                </c:pt>
                <c:pt idx="3">
                  <c:v>2-3 Years</c:v>
                </c:pt>
                <c:pt idx="4">
                  <c:v>3-4 Years</c:v>
                </c:pt>
                <c:pt idx="5">
                  <c:v>4-5 Years</c:v>
                </c:pt>
              </c:strCache>
            </c:strRef>
          </c:cat>
          <c:val>
            <c:numRef>
              <c:f>'Investment Position'!$C$36:$H$36</c:f>
              <c:numCache>
                <c:formatCode>_(* #,##0_);_(* \(#,##0\);_(* "-"??_);_(@_)</c:formatCode>
                <c:ptCount val="6"/>
                <c:pt idx="0">
                  <c:v>500000000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70726144"/>
        <c:axId val="47642816"/>
      </c:barChart>
      <c:catAx>
        <c:axId val="70726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7642816"/>
        <c:crosses val="autoZero"/>
        <c:auto val="1"/>
        <c:lblAlgn val="ctr"/>
        <c:lblOffset val="100"/>
        <c:noMultiLvlLbl val="0"/>
      </c:catAx>
      <c:valAx>
        <c:axId val="4764281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7072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Asset</a:t>
            </a:r>
            <a:r>
              <a:rPr lang="en-US" baseline="0"/>
              <a:t> Allocation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'Investment Position'!$A$11:$A$20</c:f>
              <c:strCache>
                <c:ptCount val="10"/>
                <c:pt idx="0">
                  <c:v>Repurchase Agreements</c:v>
                </c:pt>
                <c:pt idx="1">
                  <c:v>Commercial Paper</c:v>
                </c:pt>
                <c:pt idx="2">
                  <c:v>Treasuries</c:v>
                </c:pt>
                <c:pt idx="3">
                  <c:v>Agencies</c:v>
                </c:pt>
                <c:pt idx="4">
                  <c:v>Supranational Securities</c:v>
                </c:pt>
                <c:pt idx="5">
                  <c:v>Municipal Bonds</c:v>
                </c:pt>
                <c:pt idx="6">
                  <c:v>Corporate Bonds</c:v>
                </c:pt>
                <c:pt idx="7">
                  <c:v>Foreign Bonds</c:v>
                </c:pt>
                <c:pt idx="8">
                  <c:v>IL Funds</c:v>
                </c:pt>
                <c:pt idx="9">
                  <c:v>Money Market</c:v>
                </c:pt>
              </c:strCache>
            </c:strRef>
          </c:cat>
          <c:val>
            <c:numRef>
              <c:f>'Investment Position'!$C$11:$C$20</c:f>
              <c:numCache>
                <c:formatCode>_(* #,##0_);_(* \(#,##0\);_(* "-"??_);_(@_)</c:formatCode>
                <c:ptCount val="10"/>
                <c:pt idx="0" formatCode="_(&quot;$&quot;* #,##0_);_(&quot;$&quot;* \(#,##0\);_(&quot;$&quot;* &quot;-&quot;??_);_(@_)">
                  <c:v>1490225000</c:v>
                </c:pt>
                <c:pt idx="1">
                  <c:v>2966300000</c:v>
                </c:pt>
                <c:pt idx="2">
                  <c:v>2500000000</c:v>
                </c:pt>
                <c:pt idx="3">
                  <c:v>2661050000</c:v>
                </c:pt>
                <c:pt idx="4">
                  <c:v>100000000</c:v>
                </c:pt>
                <c:pt idx="5">
                  <c:v>505000</c:v>
                </c:pt>
                <c:pt idx="6">
                  <c:v>25500000</c:v>
                </c:pt>
                <c:pt idx="7">
                  <c:v>40000000</c:v>
                </c:pt>
                <c:pt idx="8">
                  <c:v>543000000</c:v>
                </c:pt>
                <c:pt idx="9">
                  <c:v>500000000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'Investment Position'!$A$11:$A$20</c:f>
              <c:strCache>
                <c:ptCount val="10"/>
                <c:pt idx="0">
                  <c:v>Repurchase Agreements</c:v>
                </c:pt>
                <c:pt idx="1">
                  <c:v>Commercial Paper</c:v>
                </c:pt>
                <c:pt idx="2">
                  <c:v>Treasuries</c:v>
                </c:pt>
                <c:pt idx="3">
                  <c:v>Agencies</c:v>
                </c:pt>
                <c:pt idx="4">
                  <c:v>Supranational Securities</c:v>
                </c:pt>
                <c:pt idx="5">
                  <c:v>Municipal Bonds</c:v>
                </c:pt>
                <c:pt idx="6">
                  <c:v>Corporate Bonds</c:v>
                </c:pt>
                <c:pt idx="7">
                  <c:v>Foreign Bonds</c:v>
                </c:pt>
                <c:pt idx="8">
                  <c:v>IL Funds</c:v>
                </c:pt>
                <c:pt idx="9">
                  <c:v>Money Market</c:v>
                </c:pt>
              </c:strCache>
            </c:strRef>
          </c:cat>
          <c:val>
            <c:numRef>
              <c:f>'Investment Position'!$D$11:$D$20</c:f>
              <c:numCache>
                <c:formatCode>0.0%</c:formatCode>
                <c:ptCount val="10"/>
                <c:pt idx="0">
                  <c:v>0.13764503656741095</c:v>
                </c:pt>
                <c:pt idx="1">
                  <c:v>0.2739831045445561</c:v>
                </c:pt>
                <c:pt idx="2">
                  <c:v>0.23091317849219237</c:v>
                </c:pt>
                <c:pt idx="3">
                  <c:v>0.24578860545065939</c:v>
                </c:pt>
                <c:pt idx="4">
                  <c:v>9.236527139687695E-3</c:v>
                </c:pt>
                <c:pt idx="5">
                  <c:v>4.6644462055422856E-5</c:v>
                </c:pt>
                <c:pt idx="6">
                  <c:v>2.3553144206203622E-3</c:v>
                </c:pt>
                <c:pt idx="7">
                  <c:v>3.6946108558750779E-3</c:v>
                </c:pt>
                <c:pt idx="8">
                  <c:v>5.0154342368504183E-2</c:v>
                </c:pt>
                <c:pt idx="9">
                  <c:v>4.6182635698438473E-2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Short</a:t>
            </a:r>
            <a:r>
              <a:rPr lang="en-US" baseline="0"/>
              <a:t> Term (&lt;1 Year) Liquidity schedule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58507433036454"/>
          <c:y val="0.16240639124162379"/>
          <c:w val="0.76748626808933018"/>
          <c:h val="0.76842016910354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'Investment Position'!$A$68</c:f>
              <c:strCache>
                <c:ptCount val="1"/>
                <c:pt idx="0">
                  <c:v>Repurchase Agreements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Position'!$C$68:$O$68</c:f>
              <c:numCache>
                <c:formatCode>_("$"* #,##0_);_("$"* \(#,##0\);_("$"* "-"??_);_(@_)</c:formatCode>
                <c:ptCount val="13"/>
                <c:pt idx="0">
                  <c:v>1490225000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'Investment Position'!$A$69</c:f>
              <c:strCache>
                <c:ptCount val="1"/>
                <c:pt idx="0">
                  <c:v>Commercial Paper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Position'!$C$69:$O$69</c:f>
              <c:numCache>
                <c:formatCode>_(* #,##0_);_(* \(#,##0\);_(* "-"??_);_(@_)</c:formatCode>
                <c:ptCount val="13"/>
                <c:pt idx="0">
                  <c:v>376300000</c:v>
                </c:pt>
                <c:pt idx="1">
                  <c:v>680000000</c:v>
                </c:pt>
                <c:pt idx="2">
                  <c:v>460000000</c:v>
                </c:pt>
                <c:pt idx="3">
                  <c:v>135000000</c:v>
                </c:pt>
                <c:pt idx="4">
                  <c:v>945000000</c:v>
                </c:pt>
                <c:pt idx="5">
                  <c:v>100000000</c:v>
                </c:pt>
                <c:pt idx="6">
                  <c:v>270000000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'Investment Position'!$A$70</c:f>
              <c:strCache>
                <c:ptCount val="1"/>
                <c:pt idx="0">
                  <c:v>Treasuries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Position'!$C$70:$O$70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450000000</c:v>
                </c:pt>
                <c:pt idx="2">
                  <c:v>500000000</c:v>
                </c:pt>
                <c:pt idx="3">
                  <c:v>0</c:v>
                </c:pt>
                <c:pt idx="4">
                  <c:v>100000000</c:v>
                </c:pt>
                <c:pt idx="5">
                  <c:v>100000000</c:v>
                </c:pt>
                <c:pt idx="6">
                  <c:v>250000000</c:v>
                </c:pt>
                <c:pt idx="7">
                  <c:v>0</c:v>
                </c:pt>
                <c:pt idx="8">
                  <c:v>50000000</c:v>
                </c:pt>
                <c:pt idx="9">
                  <c:v>50000000</c:v>
                </c:pt>
                <c:pt idx="10">
                  <c:v>150000000</c:v>
                </c:pt>
                <c:pt idx="11">
                  <c:v>350000000</c:v>
                </c:pt>
                <c:pt idx="12">
                  <c:v>450000000</c:v>
                </c:pt>
              </c:numCache>
            </c:numRef>
          </c:val>
        </c:ser>
        <c:ser>
          <c:idx val="3"/>
          <c:order val="3"/>
          <c:tx>
            <c:strRef>
              <c:f>'Investment Position'!$A$71</c:f>
              <c:strCache>
                <c:ptCount val="1"/>
                <c:pt idx="0">
                  <c:v>Agencies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Position'!$C$71:$O$71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25000000</c:v>
                </c:pt>
                <c:pt idx="2">
                  <c:v>34000000</c:v>
                </c:pt>
                <c:pt idx="3">
                  <c:v>25000000</c:v>
                </c:pt>
                <c:pt idx="4">
                  <c:v>50000000</c:v>
                </c:pt>
                <c:pt idx="5">
                  <c:v>150000000</c:v>
                </c:pt>
                <c:pt idx="6">
                  <c:v>50000000</c:v>
                </c:pt>
                <c:pt idx="7">
                  <c:v>66000000</c:v>
                </c:pt>
                <c:pt idx="8">
                  <c:v>150000000</c:v>
                </c:pt>
                <c:pt idx="9">
                  <c:v>150000000</c:v>
                </c:pt>
                <c:pt idx="10">
                  <c:v>96000000</c:v>
                </c:pt>
                <c:pt idx="11">
                  <c:v>100002000</c:v>
                </c:pt>
                <c:pt idx="12">
                  <c:v>50000000</c:v>
                </c:pt>
              </c:numCache>
            </c:numRef>
          </c:val>
        </c:ser>
        <c:ser>
          <c:idx val="4"/>
          <c:order val="4"/>
          <c:tx>
            <c:strRef>
              <c:f>'Investment Position'!$A$72</c:f>
              <c:strCache>
                <c:ptCount val="1"/>
                <c:pt idx="0">
                  <c:v>Supranational Securities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Position'!$C$72:$O$72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10000000</c:v>
                </c:pt>
                <c:pt idx="11">
                  <c:v>0</c:v>
                </c:pt>
                <c:pt idx="12">
                  <c:v>10000000</c:v>
                </c:pt>
              </c:numCache>
            </c:numRef>
          </c:val>
        </c:ser>
        <c:ser>
          <c:idx val="5"/>
          <c:order val="5"/>
          <c:tx>
            <c:strRef>
              <c:f>'Investment Position'!$A$73</c:f>
              <c:strCache>
                <c:ptCount val="1"/>
                <c:pt idx="0">
                  <c:v>Municipal Bonds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Position'!$C$73:$O$73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'Investment Position'!$A$75</c:f>
              <c:strCache>
                <c:ptCount val="1"/>
                <c:pt idx="0">
                  <c:v>Foreign Bonds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Position'!$C$75:$O$75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10000000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'Investment Position'!$A$76</c:f>
              <c:strCache>
                <c:ptCount val="1"/>
                <c:pt idx="0">
                  <c:v>IL Funds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Position'!$C$76:$O$76</c:f>
              <c:numCache>
                <c:formatCode>_(* #,##0_);_(* \(#,##0\);_(* "-"??_);_(@_)</c:formatCode>
                <c:ptCount val="13"/>
                <c:pt idx="0">
                  <c:v>543000000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'Investment Position'!$A$77</c:f>
              <c:strCache>
                <c:ptCount val="1"/>
                <c:pt idx="0">
                  <c:v>Money Market</c:v>
                </c:pt>
              </c:strCache>
            </c:strRef>
          </c:tx>
          <c:invertIfNegative val="0"/>
          <c:cat>
            <c:strRef>
              <c:f>'Investment Position'!$C$64:$O$64</c:f>
              <c:strCache>
                <c:ptCount val="13"/>
                <c:pt idx="0">
                  <c:v>Overnight</c:v>
                </c:pt>
                <c:pt idx="1">
                  <c:v>1 Month</c:v>
                </c:pt>
                <c:pt idx="2">
                  <c:v>2 Month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 </c:v>
                </c:pt>
                <c:pt idx="8">
                  <c:v>8 Months </c:v>
                </c:pt>
                <c:pt idx="9">
                  <c:v>9 Months </c:v>
                </c:pt>
                <c:pt idx="10">
                  <c:v>10 Months </c:v>
                </c:pt>
                <c:pt idx="11">
                  <c:v>11 Months </c:v>
                </c:pt>
                <c:pt idx="12">
                  <c:v>12 Months </c:v>
                </c:pt>
              </c:strCache>
            </c:strRef>
          </c:cat>
          <c:val>
            <c:numRef>
              <c:f>'Investment Position'!$C$77:$O$77</c:f>
              <c:numCache>
                <c:formatCode>_(* #,##0_);_(* \(#,##0\);_(* "-"??_);_(@_)</c:formatCode>
                <c:ptCount val="13"/>
                <c:pt idx="0">
                  <c:v>500000000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9"/>
          <c:tx>
            <c:strRef>
              <c:f>'Investment Position'!$A$74</c:f>
              <c:strCache>
                <c:ptCount val="1"/>
                <c:pt idx="0">
                  <c:v>Corporate Bonds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'Investment Position'!$C$74:$O$74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0728192"/>
        <c:axId val="57705600"/>
      </c:barChart>
      <c:catAx>
        <c:axId val="7072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57705600"/>
        <c:crosses val="autoZero"/>
        <c:auto val="1"/>
        <c:lblAlgn val="ctr"/>
        <c:lblOffset val="100"/>
        <c:noMultiLvlLbl val="0"/>
      </c:catAx>
      <c:valAx>
        <c:axId val="5770560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7072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Liability to Match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Outstanding to Match</c:v>
          </c:tx>
          <c:invertIfNegative val="0"/>
          <c:cat>
            <c:numRef>
              <c:f>'Investment Position'!$C$80:$O$80</c:f>
              <c:numCache>
                <c:formatCode>[$-409]mmm\-yy;@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'Investment Position'!$C$83:$O$83</c:f>
              <c:numCache>
                <c:formatCode>"$"#,##0</c:formatCode>
                <c:ptCount val="13"/>
                <c:pt idx="0">
                  <c:v>246700000</c:v>
                </c:pt>
                <c:pt idx="1">
                  <c:v>497000000</c:v>
                </c:pt>
                <c:pt idx="2">
                  <c:v>397000000</c:v>
                </c:pt>
                <c:pt idx="3">
                  <c:v>825000000</c:v>
                </c:pt>
                <c:pt idx="4">
                  <c:v>767000000</c:v>
                </c:pt>
                <c:pt idx="5">
                  <c:v>624000000</c:v>
                </c:pt>
                <c:pt idx="6">
                  <c:v>898000000</c:v>
                </c:pt>
                <c:pt idx="7">
                  <c:v>1026000000</c:v>
                </c:pt>
                <c:pt idx="8">
                  <c:v>1138000000</c:v>
                </c:pt>
                <c:pt idx="9">
                  <c:v>1205000000</c:v>
                </c:pt>
                <c:pt idx="10">
                  <c:v>782000000</c:v>
                </c:pt>
                <c:pt idx="11">
                  <c:v>1810000000</c:v>
                </c:pt>
                <c:pt idx="12">
                  <c:v>1150000000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29216"/>
        <c:axId val="57707904"/>
      </c:barChart>
      <c:dateAx>
        <c:axId val="707292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57707904"/>
        <c:crosses val="autoZero"/>
        <c:auto val="1"/>
        <c:lblOffset val="100"/>
        <c:baseTimeUnit val="months"/>
      </c:dateAx>
      <c:valAx>
        <c:axId val="5770790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7072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38</xdr:row>
      <xdr:rowOff>61912</xdr:rowOff>
    </xdr:from>
    <xdr:to>
      <xdr:col>6</xdr:col>
      <xdr:colOff>9525</xdr:colOff>
      <xdr:row>61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22512</xdr:colOff>
      <xdr:row>38</xdr:row>
      <xdr:rowOff>55419</xdr:rowOff>
    </xdr:from>
    <xdr:to>
      <xdr:col>11</xdr:col>
      <xdr:colOff>1071128</xdr:colOff>
      <xdr:row>61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9522</xdr:colOff>
      <xdr:row>83</xdr:row>
      <xdr:rowOff>42861</xdr:rowOff>
    </xdr:from>
    <xdr:to>
      <xdr:col>8</xdr:col>
      <xdr:colOff>1076324</xdr:colOff>
      <xdr:row>107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83</xdr:row>
      <xdr:rowOff>66674</xdr:rowOff>
    </xdr:from>
    <xdr:to>
      <xdr:col>16</xdr:col>
      <xdr:colOff>0</xdr:colOff>
      <xdr:row>107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547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43250" y="7659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"/>
    </sheetNames>
    <sheetDataSet>
      <sheetData sheetId="0">
        <row r="1">
          <cell r="K1">
            <v>42772</v>
          </cell>
        </row>
        <row r="197">
          <cell r="D197">
            <v>2430000000</v>
          </cell>
        </row>
        <row r="202">
          <cell r="D202">
            <v>25000000</v>
          </cell>
        </row>
        <row r="203">
          <cell r="D203">
            <v>25000000</v>
          </cell>
        </row>
        <row r="204">
          <cell r="D204">
            <v>25000000</v>
          </cell>
        </row>
        <row r="205">
          <cell r="D205">
            <v>25000000</v>
          </cell>
        </row>
        <row r="206">
          <cell r="D206">
            <v>14000000</v>
          </cell>
        </row>
        <row r="207">
          <cell r="D207">
            <v>25000000</v>
          </cell>
        </row>
        <row r="208">
          <cell r="D208">
            <v>25000000</v>
          </cell>
        </row>
        <row r="209">
          <cell r="D209">
            <v>25000000</v>
          </cell>
        </row>
        <row r="210">
          <cell r="D210">
            <v>25000000</v>
          </cell>
        </row>
        <row r="211">
          <cell r="D211">
            <v>25000000</v>
          </cell>
        </row>
        <row r="212">
          <cell r="D212">
            <v>15000000</v>
          </cell>
        </row>
        <row r="213">
          <cell r="D213">
            <v>25000000</v>
          </cell>
        </row>
        <row r="214">
          <cell r="D214">
            <v>25000000</v>
          </cell>
        </row>
        <row r="215">
          <cell r="D215">
            <v>15000000</v>
          </cell>
        </row>
        <row r="216">
          <cell r="D216">
            <v>25000000</v>
          </cell>
        </row>
        <row r="217">
          <cell r="D217">
            <v>15000000</v>
          </cell>
        </row>
        <row r="218">
          <cell r="D218">
            <v>25000000</v>
          </cell>
        </row>
        <row r="219">
          <cell r="D219">
            <v>50000000</v>
          </cell>
        </row>
        <row r="220">
          <cell r="D220">
            <v>50000000</v>
          </cell>
        </row>
        <row r="221">
          <cell r="D221">
            <v>25000000</v>
          </cell>
        </row>
        <row r="222">
          <cell r="D222">
            <v>25000000</v>
          </cell>
        </row>
        <row r="223">
          <cell r="D223">
            <v>25000000</v>
          </cell>
        </row>
        <row r="224">
          <cell r="D224">
            <v>25000000</v>
          </cell>
        </row>
        <row r="225">
          <cell r="D225">
            <v>25000000</v>
          </cell>
        </row>
        <row r="226">
          <cell r="D226">
            <v>25000000</v>
          </cell>
        </row>
        <row r="227">
          <cell r="D227">
            <v>25000000</v>
          </cell>
        </row>
        <row r="228">
          <cell r="D228">
            <v>25000000</v>
          </cell>
        </row>
        <row r="229">
          <cell r="D229">
            <v>30000000</v>
          </cell>
        </row>
        <row r="230">
          <cell r="D230">
            <v>25000000</v>
          </cell>
        </row>
        <row r="231">
          <cell r="D231">
            <v>25000000</v>
          </cell>
        </row>
        <row r="232">
          <cell r="D232">
            <v>25000000</v>
          </cell>
        </row>
        <row r="233">
          <cell r="D233">
            <v>10000000</v>
          </cell>
        </row>
        <row r="234">
          <cell r="D234">
            <v>15000000</v>
          </cell>
        </row>
        <row r="235">
          <cell r="D235">
            <v>25000000</v>
          </cell>
        </row>
        <row r="236">
          <cell r="D236">
            <v>20000000</v>
          </cell>
        </row>
        <row r="237">
          <cell r="D237">
            <v>25000000</v>
          </cell>
        </row>
        <row r="238">
          <cell r="D238">
            <v>25000000</v>
          </cell>
        </row>
        <row r="239">
          <cell r="D239">
            <v>25000000</v>
          </cell>
        </row>
        <row r="240">
          <cell r="D240">
            <v>25000000</v>
          </cell>
        </row>
        <row r="241">
          <cell r="D241">
            <v>25000000</v>
          </cell>
        </row>
        <row r="242">
          <cell r="D242">
            <v>25000000</v>
          </cell>
        </row>
        <row r="243">
          <cell r="D243">
            <v>25000000</v>
          </cell>
        </row>
        <row r="244">
          <cell r="D244">
            <v>25000000</v>
          </cell>
        </row>
        <row r="245">
          <cell r="D245">
            <v>25000000</v>
          </cell>
        </row>
        <row r="246">
          <cell r="D246">
            <v>25000000</v>
          </cell>
        </row>
        <row r="247">
          <cell r="D247">
            <v>25000000</v>
          </cell>
        </row>
        <row r="248">
          <cell r="D248">
            <v>25000000</v>
          </cell>
        </row>
        <row r="249">
          <cell r="D249">
            <v>20000000</v>
          </cell>
        </row>
        <row r="250">
          <cell r="D250">
            <v>25000000</v>
          </cell>
        </row>
        <row r="251">
          <cell r="D251">
            <v>25000000</v>
          </cell>
        </row>
        <row r="252">
          <cell r="D252">
            <v>25000000</v>
          </cell>
        </row>
        <row r="253">
          <cell r="D253">
            <v>25000000</v>
          </cell>
        </row>
        <row r="254">
          <cell r="D254">
            <v>25000000</v>
          </cell>
        </row>
        <row r="255">
          <cell r="D255">
            <v>25000000</v>
          </cell>
        </row>
        <row r="256">
          <cell r="D256">
            <v>25000000</v>
          </cell>
        </row>
        <row r="257">
          <cell r="D257">
            <v>25000000</v>
          </cell>
        </row>
        <row r="258">
          <cell r="D258">
            <v>25000000</v>
          </cell>
        </row>
        <row r="259">
          <cell r="D259">
            <v>25000000</v>
          </cell>
        </row>
        <row r="260">
          <cell r="D260">
            <v>25000000</v>
          </cell>
        </row>
        <row r="261">
          <cell r="D261">
            <v>25000000</v>
          </cell>
        </row>
        <row r="262">
          <cell r="D262">
            <v>25000000</v>
          </cell>
        </row>
        <row r="263">
          <cell r="D263">
            <v>30000000</v>
          </cell>
        </row>
        <row r="264">
          <cell r="D264">
            <v>30000000</v>
          </cell>
        </row>
        <row r="265">
          <cell r="D265">
            <v>25000000</v>
          </cell>
        </row>
        <row r="266">
          <cell r="D266">
            <v>25000000</v>
          </cell>
        </row>
        <row r="267">
          <cell r="D267">
            <v>25000000</v>
          </cell>
        </row>
        <row r="268">
          <cell r="D268">
            <v>25000000</v>
          </cell>
        </row>
        <row r="269">
          <cell r="D269">
            <v>25000000</v>
          </cell>
        </row>
        <row r="270">
          <cell r="D270">
            <v>25000000</v>
          </cell>
        </row>
        <row r="271">
          <cell r="D271">
            <v>25000000</v>
          </cell>
        </row>
        <row r="272">
          <cell r="D272">
            <v>25000000</v>
          </cell>
        </row>
        <row r="273">
          <cell r="D273">
            <v>16000000</v>
          </cell>
        </row>
        <row r="274">
          <cell r="D274">
            <v>25000000</v>
          </cell>
        </row>
        <row r="275">
          <cell r="D275">
            <v>50000000</v>
          </cell>
        </row>
        <row r="276">
          <cell r="D276">
            <v>25000000</v>
          </cell>
        </row>
        <row r="277">
          <cell r="D277">
            <v>25000000</v>
          </cell>
        </row>
        <row r="278">
          <cell r="D278">
            <v>25000000</v>
          </cell>
        </row>
        <row r="279">
          <cell r="D279">
            <v>25000000</v>
          </cell>
        </row>
        <row r="280">
          <cell r="D280">
            <v>25000000</v>
          </cell>
        </row>
        <row r="281">
          <cell r="D281">
            <v>50000000</v>
          </cell>
        </row>
        <row r="282">
          <cell r="D282">
            <v>50000000</v>
          </cell>
        </row>
        <row r="283">
          <cell r="D283">
            <v>25000000</v>
          </cell>
        </row>
        <row r="284">
          <cell r="D284">
            <v>25000000</v>
          </cell>
        </row>
        <row r="285">
          <cell r="D285">
            <v>25000000</v>
          </cell>
        </row>
        <row r="286">
          <cell r="D286">
            <v>20000000</v>
          </cell>
        </row>
        <row r="287">
          <cell r="D287">
            <v>25000000</v>
          </cell>
        </row>
        <row r="288">
          <cell r="D288">
            <v>14000000</v>
          </cell>
        </row>
        <row r="289">
          <cell r="D289">
            <v>11000000</v>
          </cell>
        </row>
        <row r="327">
          <cell r="D327">
            <v>725000000</v>
          </cell>
        </row>
        <row r="344">
          <cell r="D344">
            <v>90000000</v>
          </cell>
        </row>
        <row r="455">
          <cell r="D455">
            <v>12755589001.620001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L26" sqref="L26"/>
    </sheetView>
  </sheetViews>
  <sheetFormatPr defaultColWidth="9.140625" defaultRowHeight="12.75"/>
  <cols>
    <col min="1" max="1" width="27" style="2" customWidth="1"/>
    <col min="2" max="2" width="6.140625" style="2" hidden="1" customWidth="1"/>
    <col min="3" max="6" width="11.28515625" style="2" hidden="1" customWidth="1"/>
    <col min="7" max="7" width="2.42578125" style="2" customWidth="1"/>
    <col min="8" max="8" width="17.7109375" style="2" customWidth="1"/>
    <col min="9" max="9" width="1.7109375" style="2" customWidth="1"/>
    <col min="10" max="10" width="15.85546875" style="2" customWidth="1"/>
    <col min="11" max="11" width="2.7109375" style="2" customWidth="1"/>
    <col min="12" max="12" width="17.7109375" style="2" customWidth="1"/>
    <col min="13" max="13" width="2.42578125" style="2" customWidth="1"/>
    <col min="14" max="14" width="15.7109375" style="2" customWidth="1"/>
    <col min="15" max="15" width="2.7109375" style="2" customWidth="1"/>
    <col min="16" max="16" width="17.7109375" style="2" customWidth="1"/>
    <col min="17" max="17" width="1.7109375" style="2" customWidth="1"/>
    <col min="18" max="18" width="15.7109375" style="2" customWidth="1"/>
    <col min="19" max="19" width="2.7109375" style="2" customWidth="1"/>
    <col min="20" max="20" width="17.7109375" style="2" customWidth="1"/>
    <col min="21" max="21" width="1.7109375" style="2" customWidth="1"/>
    <col min="22" max="22" width="15.7109375" style="2" customWidth="1"/>
    <col min="23" max="23" width="2.7109375" style="2" customWidth="1"/>
    <col min="24" max="24" width="16.28515625" style="2" bestFit="1" customWidth="1"/>
    <col min="25" max="16384" width="9.140625" style="2"/>
  </cols>
  <sheetData>
    <row r="1" spans="1:24" ht="16.5">
      <c r="A1" s="4" t="s">
        <v>54</v>
      </c>
    </row>
    <row r="2" spans="1:24" s="6" customFormat="1" ht="12" customHeight="1">
      <c r="A2" s="1"/>
    </row>
    <row r="3" spans="1:24" s="6" customFormat="1" ht="15.75">
      <c r="A3" s="7" t="s">
        <v>55</v>
      </c>
      <c r="H3" s="5" t="s">
        <v>45</v>
      </c>
      <c r="I3" s="423">
        <f>[1]Reporting!D455</f>
        <v>12755589001.620001</v>
      </c>
      <c r="J3" s="423"/>
      <c r="K3" s="423"/>
      <c r="L3" s="34"/>
      <c r="M3" s="34"/>
      <c r="N3" s="34"/>
      <c r="O3" s="34"/>
    </row>
    <row r="4" spans="1:24" s="6" customFormat="1" ht="15.75">
      <c r="A4" s="8">
        <f>[1]Reporting!E1</f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5"/>
      <c r="Q4" s="35"/>
      <c r="R4" s="35"/>
    </row>
    <row r="5" spans="1:24" s="6" customFormat="1" ht="15.75">
      <c r="H5" s="424" t="s">
        <v>39</v>
      </c>
      <c r="I5" s="425"/>
      <c r="J5" s="426"/>
      <c r="L5" s="424" t="s">
        <v>58</v>
      </c>
      <c r="M5" s="425"/>
      <c r="N5" s="426"/>
      <c r="P5" s="424" t="s">
        <v>59</v>
      </c>
      <c r="Q5" s="425"/>
      <c r="R5" s="426"/>
      <c r="T5" s="424" t="s">
        <v>60</v>
      </c>
      <c r="U5" s="425"/>
      <c r="V5" s="426"/>
    </row>
    <row r="6" spans="1:24" s="6" customFormat="1" ht="15.75">
      <c r="A6" s="9" t="s">
        <v>35</v>
      </c>
      <c r="B6" s="9"/>
      <c r="C6" s="9" t="s">
        <v>62</v>
      </c>
      <c r="D6" s="9" t="s">
        <v>63</v>
      </c>
      <c r="E6" s="9" t="s">
        <v>64</v>
      </c>
      <c r="F6" s="9" t="s">
        <v>61</v>
      </c>
      <c r="G6" s="9"/>
      <c r="H6" s="10" t="s">
        <v>32</v>
      </c>
      <c r="I6" s="11"/>
      <c r="J6" s="12" t="s">
        <v>33</v>
      </c>
      <c r="K6" s="9"/>
      <c r="L6" s="10" t="s">
        <v>32</v>
      </c>
      <c r="M6" s="11"/>
      <c r="N6" s="12" t="s">
        <v>33</v>
      </c>
      <c r="O6" s="9"/>
      <c r="P6" s="10" t="s">
        <v>32</v>
      </c>
      <c r="Q6" s="11"/>
      <c r="R6" s="12" t="s">
        <v>33</v>
      </c>
      <c r="T6" s="10" t="s">
        <v>32</v>
      </c>
      <c r="U6" s="11"/>
      <c r="V6" s="12" t="s">
        <v>33</v>
      </c>
    </row>
    <row r="7" spans="1:24" s="6" customFormat="1" ht="15.6" customHeight="1">
      <c r="A7" s="13" t="s">
        <v>29</v>
      </c>
      <c r="B7" s="13">
        <v>86</v>
      </c>
      <c r="C7" s="14">
        <f>DATE(YEAR($A$4)+2,MONTH($A$4),DAY($A$4))</f>
        <v>731</v>
      </c>
      <c r="D7" s="14">
        <f>DATE(YEAR($A$4)+3,MONTH($A$4),DAY($A$4))</f>
        <v>1096</v>
      </c>
      <c r="E7" s="14">
        <f>DATE(YEAR($A$4)+4,MONTH($A$4),DAY($A$4))</f>
        <v>1461</v>
      </c>
      <c r="F7" s="14">
        <f>DATE(YEAR($A$4)+5,MONTH($A$4),DAY($A$4))</f>
        <v>1827</v>
      </c>
      <c r="G7" s="13"/>
      <c r="H7" s="15">
        <f>SUMPRODUCT('INV500 '!$V$3:$V$990*('INV500 '!$C$3:$C$990=$B7)*('INV500 '!$T$3:$T$990&lt;'Asset % to Portfolio'!$C$7)*('INV500 '!$O$3:$O$990&lt;&gt;"M")*1000)</f>
        <v>0</v>
      </c>
      <c r="I7" s="16"/>
      <c r="J7" s="17"/>
      <c r="K7" s="13"/>
      <c r="L7" s="15">
        <f>SUMPRODUCT('INV500 '!$V$3:$V$990*('INV500 '!$C$3:$C$990=$B7)*('INV500 '!$T$3:$T$990&lt;'Asset % to Portfolio'!$D$7)*('INV500 '!$T$3:$T$990&gt;='Asset % to Portfolio'!$C$7)*('INV500 '!$O$3:$O$990&lt;&gt;"M"))*1000</f>
        <v>0</v>
      </c>
      <c r="M7" s="16"/>
      <c r="N7" s="18"/>
      <c r="O7" s="13"/>
      <c r="P7" s="15">
        <f>SUMPRODUCT('INV500 '!$V$3:$V$990*('INV500 '!$C$3:$C$990=$B7)*('INV500 '!$T$3:$T$990&lt;'Asset % to Portfolio'!$E$7)*('INV500 '!$T$3:$T$990&gt;='Asset % to Portfolio'!$D$7)*('INV500 '!$O$3:$O$990&lt;&gt;"M"))*1000</f>
        <v>0</v>
      </c>
      <c r="Q7" s="16"/>
      <c r="R7" s="18"/>
      <c r="T7" s="15">
        <f>SUMPRODUCT('INV500 '!$V$3:$V$990*('INV500 '!$C$3:$C$990=$B7)*('INV500 '!$T$3:$T$990&gt;='Asset % to Portfolio'!$E$7)*('INV500 '!$O$3:$O$990&lt;&gt;"M"))*1000</f>
        <v>150000000</v>
      </c>
      <c r="U7" s="16"/>
      <c r="V7" s="18"/>
      <c r="X7" s="38">
        <f>SUM(H7:W7)</f>
        <v>150000000</v>
      </c>
    </row>
    <row r="8" spans="1:24" s="6" customFormat="1" ht="15.6" customHeight="1">
      <c r="A8" s="13" t="s">
        <v>0</v>
      </c>
      <c r="B8" s="13">
        <v>87</v>
      </c>
      <c r="C8" s="13"/>
      <c r="D8" s="13"/>
      <c r="E8" s="13"/>
      <c r="F8" s="13"/>
      <c r="G8" s="13"/>
      <c r="H8" s="15">
        <f>SUMPRODUCT('INV500 '!$V$3:$V$990*('INV500 '!$C$3:$C$990=$B8)*('INV500 '!$T$3:$T$990&lt;'Asset % to Portfolio'!$C$7)*('INV500 '!$O$3:$O$990&lt;&gt;"M")*1000)</f>
        <v>0</v>
      </c>
      <c r="I8" s="16"/>
      <c r="J8" s="17"/>
      <c r="K8" s="13"/>
      <c r="L8" s="15">
        <f>SUMPRODUCT('INV500 '!$V$3:$V$990*('INV500 '!$C$3:$C$990=$B8)*('INV500 '!$T$3:$T$990&lt;'Asset % to Portfolio'!$D$7)*('INV500 '!$T$3:$T$990&gt;='Asset % to Portfolio'!$C$7)*('INV500 '!$O$3:$O$990&lt;&gt;"M"))*1000</f>
        <v>0</v>
      </c>
      <c r="M8" s="16"/>
      <c r="N8" s="18"/>
      <c r="O8" s="13"/>
      <c r="P8" s="15">
        <f>SUMPRODUCT('INV500 '!$V$3:$V$990*('INV500 '!$C$3:$C$990=$B8)*('INV500 '!$T$3:$T$990&lt;'Asset % to Portfolio'!$E$7)*('INV500 '!$T$3:$T$990&gt;='Asset % to Portfolio'!$D$7)*('INV500 '!$O$3:$O$990&lt;&gt;"M"))*1000</f>
        <v>0</v>
      </c>
      <c r="Q8" s="16"/>
      <c r="R8" s="18"/>
      <c r="T8" s="15">
        <f>SUMPRODUCT('INV500 '!$V$3:$V$990*('INV500 '!$C$3:$C$990=$B8)*('INV500 '!$T$3:$T$990&gt;='Asset % to Portfolio'!$E$7)*('INV500 '!$O$3:$O$990&lt;&gt;"M"))*1000</f>
        <v>309000000</v>
      </c>
      <c r="U8" s="16"/>
      <c r="V8" s="18"/>
      <c r="X8" s="38">
        <f t="shared" ref="X8:X18" si="0">SUM(H8:W8)</f>
        <v>309000000</v>
      </c>
    </row>
    <row r="9" spans="1:24" s="6" customFormat="1" ht="15.6" customHeight="1">
      <c r="A9" s="13" t="s">
        <v>30</v>
      </c>
      <c r="B9" s="13">
        <v>67</v>
      </c>
      <c r="C9" s="13"/>
      <c r="D9" s="13"/>
      <c r="E9" s="13"/>
      <c r="F9" s="13"/>
      <c r="G9" s="13"/>
      <c r="H9" s="15">
        <f>SUMPRODUCT('INV500 '!$V$3:$V$990*('INV500 '!$C$3:$C$990=$B9)*('INV500 '!$T$3:$T$990&lt;'Asset % to Portfolio'!$C$7)*('INV500 '!$O$3:$O$990&lt;&gt;"M")*1000)</f>
        <v>0</v>
      </c>
      <c r="I9" s="16"/>
      <c r="J9" s="17"/>
      <c r="K9" s="13"/>
      <c r="L9" s="15">
        <f>SUMPRODUCT('INV500 '!$V$3:$V$990*('INV500 '!$C$3:$C$990=$B9)*('INV500 '!$T$3:$T$990&lt;'Asset % to Portfolio'!$D$7)*('INV500 '!$T$3:$T$990&gt;='Asset % to Portfolio'!$C$7)*('INV500 '!$O$3:$O$990&lt;&gt;"M"))*1000</f>
        <v>0</v>
      </c>
      <c r="M9" s="16"/>
      <c r="N9" s="18"/>
      <c r="O9" s="13"/>
      <c r="P9" s="15">
        <f>SUMPRODUCT('INV500 '!$V$3:$V$990*('INV500 '!$C$3:$C$990=$B9)*('INV500 '!$T$3:$T$990&lt;'Asset % to Portfolio'!$E$7)*('INV500 '!$T$3:$T$990&gt;='Asset % to Portfolio'!$D$7)*('INV500 '!$O$3:$O$990&lt;&gt;"M"))*1000</f>
        <v>0</v>
      </c>
      <c r="Q9" s="16"/>
      <c r="R9" s="18"/>
      <c r="T9" s="15">
        <f>SUMPRODUCT('INV500 '!$V$3:$V$990*('INV500 '!$C$3:$C$990=$B9)*('INV500 '!$T$3:$T$990&gt;='Asset % to Portfolio'!$E$7)*('INV500 '!$O$3:$O$990&lt;&gt;"M"))*1000</f>
        <v>150000000</v>
      </c>
      <c r="U9" s="16"/>
      <c r="V9" s="18"/>
      <c r="X9" s="38">
        <f t="shared" si="0"/>
        <v>150000000</v>
      </c>
    </row>
    <row r="10" spans="1:24" s="6" customFormat="1" ht="15.6" customHeight="1">
      <c r="A10" s="13" t="s">
        <v>1</v>
      </c>
      <c r="B10" s="13">
        <v>84</v>
      </c>
      <c r="C10" s="13"/>
      <c r="D10" s="13"/>
      <c r="E10" s="13"/>
      <c r="F10" s="13"/>
      <c r="G10" s="13"/>
      <c r="H10" s="15">
        <f>SUMPRODUCT('INV500 '!$V$3:$V$990*('INV500 '!$C$3:$C$990=$B10)*('INV500 '!$T$3:$T$990&lt;'Asset % to Portfolio'!$C$7)*('INV500 '!$O$3:$O$990&lt;&gt;"M")*1000)</f>
        <v>0</v>
      </c>
      <c r="I10" s="16"/>
      <c r="J10" s="17"/>
      <c r="K10" s="13"/>
      <c r="L10" s="15">
        <f>SUMPRODUCT('INV500 '!$V$3:$V$990*('INV500 '!$C$3:$C$990=$B10)*('INV500 '!$T$3:$T$990&lt;'Asset % to Portfolio'!$D$7)*('INV500 '!$T$3:$T$990&gt;='Asset % to Portfolio'!$C$7)*('INV500 '!$O$3:$O$990&lt;&gt;"M"))*1000</f>
        <v>0</v>
      </c>
      <c r="M10" s="16"/>
      <c r="N10" s="18"/>
      <c r="O10" s="13"/>
      <c r="P10" s="15">
        <f>SUMPRODUCT('INV500 '!$V$3:$V$990*('INV500 '!$C$3:$C$990=$B10)*('INV500 '!$T$3:$T$990&lt;'Asset % to Portfolio'!$E$7)*('INV500 '!$T$3:$T$990&gt;='Asset % to Portfolio'!$D$7)*('INV500 '!$O$3:$O$990&lt;&gt;"M"))*1000</f>
        <v>0</v>
      </c>
      <c r="Q10" s="16"/>
      <c r="R10" s="18"/>
      <c r="T10" s="15">
        <f>SUMPRODUCT('INV500 '!$V$3:$V$990*('INV500 '!$C$3:$C$990=$B10)*('INV500 '!$T$3:$T$990&gt;='Asset % to Portfolio'!$E$7)*('INV500 '!$O$3:$O$990&lt;&gt;"M"))*1000</f>
        <v>405000000</v>
      </c>
      <c r="U10" s="16"/>
      <c r="V10" s="18"/>
      <c r="X10" s="38">
        <f t="shared" si="0"/>
        <v>405000000</v>
      </c>
    </row>
    <row r="11" spans="1:24" s="6" customFormat="1" ht="15.6" customHeight="1">
      <c r="A11" s="13" t="s">
        <v>31</v>
      </c>
      <c r="B11" s="13">
        <v>64</v>
      </c>
      <c r="C11" s="13"/>
      <c r="D11" s="13"/>
      <c r="E11" s="13"/>
      <c r="F11" s="13"/>
      <c r="G11" s="13"/>
      <c r="H11" s="15">
        <f>SUMPRODUCT('INV500 '!$V$3:$V$990*('INV500 '!$C$3:$C$990=$B11)*('INV500 '!$T$3:$T$990&lt;'Asset % to Portfolio'!$C$7)*('INV500 '!$O$3:$O$990&lt;&gt;"M")*1000)</f>
        <v>0</v>
      </c>
      <c r="I11" s="16"/>
      <c r="J11" s="17"/>
      <c r="K11" s="13"/>
      <c r="L11" s="15">
        <f>SUMPRODUCT('INV500 '!$V$3:$V$990*('INV500 '!$C$3:$C$990=$B11)*('INV500 '!$T$3:$T$990&lt;'Asset % to Portfolio'!$D$7)*('INV500 '!$T$3:$T$990&gt;='Asset % to Portfolio'!$C$7)*('INV500 '!$O$3:$O$990&lt;&gt;"M"))*1000</f>
        <v>0</v>
      </c>
      <c r="M11" s="16"/>
      <c r="N11" s="18"/>
      <c r="O11" s="13"/>
      <c r="P11" s="15">
        <f>SUMPRODUCT('INV500 '!$V$3:$V$990*('INV500 '!$C$3:$C$990=$B11)*('INV500 '!$T$3:$T$990&lt;'Asset % to Portfolio'!$E$7)*('INV500 '!$T$3:$T$990&gt;='Asset % to Portfolio'!$D$7)*('INV500 '!$O$3:$O$990&lt;&gt;"M"))*1000</f>
        <v>0</v>
      </c>
      <c r="Q11" s="16"/>
      <c r="R11" s="18"/>
      <c r="T11" s="15">
        <f>SUMPRODUCT('INV500 '!$V$3:$V$990*('INV500 '!$C$3:$C$990=$B11)*('INV500 '!$T$3:$T$990&gt;='Asset % to Portfolio'!$E$7)*('INV500 '!$O$3:$O$990&lt;&gt;"M"))*1000</f>
        <v>100000000</v>
      </c>
      <c r="U11" s="16"/>
      <c r="V11" s="18"/>
      <c r="X11" s="38">
        <f t="shared" si="0"/>
        <v>100000000</v>
      </c>
    </row>
    <row r="12" spans="1:24" s="6" customFormat="1" ht="15.6" customHeight="1">
      <c r="A12" s="13" t="s">
        <v>2</v>
      </c>
      <c r="B12" s="13">
        <v>85</v>
      </c>
      <c r="C12" s="13"/>
      <c r="D12" s="13"/>
      <c r="E12" s="13"/>
      <c r="F12" s="13"/>
      <c r="G12" s="13"/>
      <c r="H12" s="15">
        <f>SUMPRODUCT('INV500 '!$V$3:$V$990*('INV500 '!$C$3:$C$990=$B12)*('INV500 '!$T$3:$T$990&lt;'Asset % to Portfolio'!$C$7)*('INV500 '!$O$3:$O$990&lt;&gt;"M")*1000)</f>
        <v>0</v>
      </c>
      <c r="I12" s="16"/>
      <c r="J12" s="17"/>
      <c r="K12" s="13"/>
      <c r="L12" s="15">
        <f>SUMPRODUCT('INV500 '!$V$3:$V$990*('INV500 '!$C$3:$C$990=$B12)*('INV500 '!$T$3:$T$990&lt;'Asset % to Portfolio'!$D$7)*('INV500 '!$T$3:$T$990&gt;='Asset % to Portfolio'!$C$7)*('INV500 '!$O$3:$O$990&lt;&gt;"M"))*1000</f>
        <v>0</v>
      </c>
      <c r="M12" s="16"/>
      <c r="N12" s="18"/>
      <c r="O12" s="13"/>
      <c r="P12" s="15">
        <f>SUMPRODUCT('INV500 '!$V$3:$V$990*('INV500 '!$C$3:$C$990=$B12)*('INV500 '!$T$3:$T$990&lt;'Asset % to Portfolio'!$E$7)*('INV500 '!$T$3:$T$990&gt;='Asset % to Portfolio'!$D$7)*('INV500 '!$O$3:$O$990&lt;&gt;"M"))*1000</f>
        <v>0</v>
      </c>
      <c r="Q12" s="16"/>
      <c r="R12" s="18"/>
      <c r="T12" s="15">
        <f>SUMPRODUCT('INV500 '!$V$3:$V$990*('INV500 '!$C$3:$C$990=$B12)*('INV500 '!$T$3:$T$990&gt;='Asset % to Portfolio'!$E$7)*('INV500 '!$O$3:$O$990&lt;&gt;"M"))*1000</f>
        <v>775000000</v>
      </c>
      <c r="U12" s="16"/>
      <c r="V12" s="18"/>
      <c r="X12" s="38">
        <f t="shared" si="0"/>
        <v>775000000</v>
      </c>
    </row>
    <row r="13" spans="1:24" s="6" customFormat="1" ht="15.6" customHeight="1">
      <c r="A13" s="13" t="s">
        <v>46</v>
      </c>
      <c r="B13" s="13">
        <v>65</v>
      </c>
      <c r="C13" s="13"/>
      <c r="D13" s="13"/>
      <c r="E13" s="13"/>
      <c r="F13" s="13"/>
      <c r="G13" s="13"/>
      <c r="H13" s="15">
        <f>SUMPRODUCT('INV500 '!$V$3:$V$990*('INV500 '!$C$3:$C$990=$B13)*('INV500 '!$T$3:$T$990&lt;'Asset % to Portfolio'!$C$7)*('INV500 '!$O$3:$O$990&lt;&gt;"M")*1000)</f>
        <v>0</v>
      </c>
      <c r="I13" s="16"/>
      <c r="J13" s="17"/>
      <c r="K13" s="13"/>
      <c r="L13" s="15">
        <f>SUMPRODUCT('INV500 '!$V$3:$V$990*('INV500 '!$C$3:$C$990=$B13)*('INV500 '!$T$3:$T$990&lt;'Asset % to Portfolio'!$D$7)*('INV500 '!$T$3:$T$990&gt;='Asset % to Portfolio'!$C$7)*('INV500 '!$O$3:$O$990&lt;&gt;"M"))*1000</f>
        <v>0</v>
      </c>
      <c r="M13" s="16"/>
      <c r="N13" s="18"/>
      <c r="O13" s="13"/>
      <c r="P13" s="15">
        <f>SUMPRODUCT('INV500 '!$V$3:$V$990*('INV500 '!$C$3:$C$990=$B13)*('INV500 '!$T$3:$T$990&lt;'Asset % to Portfolio'!$E$7)*('INV500 '!$T$3:$T$990&gt;='Asset % to Portfolio'!$D$7)*('INV500 '!$O$3:$O$990&lt;&gt;"M"))*1000</f>
        <v>0</v>
      </c>
      <c r="Q13" s="16"/>
      <c r="R13" s="18"/>
      <c r="T13" s="15">
        <f>SUMPRODUCT('INV500 '!$V$3:$V$990*('INV500 '!$C$3:$C$990=$B13)*('INV500 '!$T$3:$T$990&gt;='Asset % to Portfolio'!$E$7)*('INV500 '!$O$3:$O$990&lt;&gt;"M"))*1000</f>
        <v>450000000</v>
      </c>
      <c r="U13" s="16"/>
      <c r="V13" s="18"/>
      <c r="X13" s="38">
        <f t="shared" si="0"/>
        <v>450000000</v>
      </c>
    </row>
    <row r="14" spans="1:24" s="6" customFormat="1" ht="15.6" customHeight="1">
      <c r="A14" s="13" t="s">
        <v>57</v>
      </c>
      <c r="B14" s="13">
        <v>89</v>
      </c>
      <c r="C14" s="13"/>
      <c r="D14" s="13"/>
      <c r="E14" s="13"/>
      <c r="F14" s="13"/>
      <c r="G14" s="13"/>
      <c r="H14" s="15">
        <f>SUMPRODUCT('INV500 '!$V$3:$V$990*('INV500 '!$C$3:$C$990=$B14)*('INV500 '!$T$3:$T$990&lt;'Asset % to Portfolio'!$C$7)*('INV500 '!$O$3:$O$990&lt;&gt;"M")*1000)</f>
        <v>0</v>
      </c>
      <c r="I14" s="16"/>
      <c r="J14" s="17"/>
      <c r="K14" s="13"/>
      <c r="L14" s="15">
        <f>SUMPRODUCT('INV500 '!$V$3:$V$990*('INV500 '!$C$3:$C$990=$B14)*('INV500 '!$T$3:$T$990&lt;'Asset % to Portfolio'!$D$7)*('INV500 '!$T$3:$T$990&gt;='Asset % to Portfolio'!$C$7)*('INV500 '!$O$3:$O$990&lt;&gt;"M"))*1000</f>
        <v>0</v>
      </c>
      <c r="M14" s="16"/>
      <c r="N14" s="18"/>
      <c r="O14" s="13"/>
      <c r="P14" s="15">
        <f>SUMPRODUCT('INV500 '!$V$3:$V$990*('INV500 '!$C$3:$C$990=$B14)*('INV500 '!$T$3:$T$990&lt;'Asset % to Portfolio'!$E$7)*('INV500 '!$T$3:$T$990&gt;='Asset % to Portfolio'!$D$7)*('INV500 '!$O$3:$O$990&lt;&gt;"M"))*1000</f>
        <v>0</v>
      </c>
      <c r="Q14" s="16"/>
      <c r="R14" s="18"/>
      <c r="T14" s="15">
        <f>SUMPRODUCT('INV500 '!$V$3:$V$990*('INV500 '!$C$3:$C$990=$B14)*('INV500 '!$T$3:$T$990&gt;='Asset % to Portfolio'!$E$7)*('INV500 '!$O$3:$O$990&lt;&gt;"M"))*1000</f>
        <v>851000000</v>
      </c>
      <c r="U14" s="16"/>
      <c r="V14" s="18"/>
      <c r="X14" s="38">
        <f t="shared" si="0"/>
        <v>851000000</v>
      </c>
    </row>
    <row r="15" spans="1:24" s="6" customFormat="1" ht="15.6" customHeight="1">
      <c r="A15" s="13" t="s">
        <v>69</v>
      </c>
      <c r="B15" s="13">
        <v>69</v>
      </c>
      <c r="C15" s="13"/>
      <c r="D15" s="13"/>
      <c r="E15" s="13"/>
      <c r="F15" s="13"/>
      <c r="G15" s="13"/>
      <c r="H15" s="15">
        <f>SUMPRODUCT('INV500 '!$V$3:$V$990*('INV500 '!$C$3:$C$990=$B15)*('INV500 '!$T$3:$T$990&lt;'Asset % to Portfolio'!$C$7)*('INV500 '!$O$3:$O$990&lt;&gt;"M")*1000)</f>
        <v>0</v>
      </c>
      <c r="I15" s="16"/>
      <c r="J15" s="17"/>
      <c r="K15" s="13"/>
      <c r="L15" s="15">
        <f>SUMPRODUCT('INV500 '!$V$3:$V$990*('INV500 '!$C$3:$C$990=$B15)*('INV500 '!$T$3:$T$990&lt;'Asset % to Portfolio'!$D$7)*('INV500 '!$T$3:$T$990&gt;='Asset % to Portfolio'!$C$7)*('INV500 '!$O$3:$O$990&lt;&gt;"M"))*1000</f>
        <v>0</v>
      </c>
      <c r="M15" s="16"/>
      <c r="N15" s="18"/>
      <c r="O15" s="13"/>
      <c r="P15" s="15">
        <f>SUMPRODUCT('INV500 '!$V$3:$V$990*('INV500 '!$C$3:$C$990=$B15)*('INV500 '!$T$3:$T$990&lt;'Asset % to Portfolio'!$E$7)*('INV500 '!$T$3:$T$990&gt;='Asset % to Portfolio'!$D$7)*('INV500 '!$O$3:$O$990&lt;&gt;"M"))*1000</f>
        <v>0</v>
      </c>
      <c r="Q15" s="16"/>
      <c r="R15" s="18"/>
      <c r="T15" s="15">
        <f>SUMPRODUCT('INV500 '!$V$3:$V$990*('INV500 '!$C$3:$C$990=$B15)*('INV500 '!$T$3:$T$990&gt;='Asset % to Portfolio'!$E$7)*('INV500 '!$O$3:$O$990&lt;&gt;"M"))*1000</f>
        <v>121000000</v>
      </c>
      <c r="U15" s="16"/>
      <c r="V15" s="18"/>
      <c r="X15" s="38">
        <f t="shared" si="0"/>
        <v>121000000</v>
      </c>
    </row>
    <row r="16" spans="1:24" s="6" customFormat="1" ht="15.6" customHeight="1">
      <c r="A16" s="13" t="s">
        <v>68</v>
      </c>
      <c r="B16" s="13">
        <v>30</v>
      </c>
      <c r="C16" s="13">
        <v>32</v>
      </c>
      <c r="D16" s="13"/>
      <c r="E16" s="13"/>
      <c r="F16" s="13"/>
      <c r="G16" s="13"/>
      <c r="H16" s="15">
        <f>SUMPRODUCT('INV500 '!$V$3:$V$990*('INV500 '!$C$3:$C$990=$B16)*('INV500 '!$T$3:$T$990&lt;'Asset % to Portfolio'!$C$7)*('INV500 '!$O$3:$O$990&lt;&gt;"M")*1000)+SUMPRODUCT('INV500 '!$V$3:$V$990*('INV500 '!$C$3:$C$990=$C16)*('INV500 '!$T$3:$T$990&lt;'Asset % to Portfolio'!$C$7)*('INV500 '!$O$3:$O$990&lt;&gt;"M")*1000)</f>
        <v>0</v>
      </c>
      <c r="I16" s="16"/>
      <c r="J16" s="17"/>
      <c r="K16" s="13"/>
      <c r="L16" s="15">
        <f>SUMPRODUCT('INV500 '!$V$3:$V$990*('INV500 '!$C$3:$C$990=$B16)*('INV500 '!$T$3:$T$990&lt;'Asset % to Portfolio'!$D$7)*('INV500 '!$T$3:$T$990&gt;='Asset % to Portfolio'!$C$7)*('INV500 '!$O$3:$O$990&lt;&gt;"M"))*1000+SUMPRODUCT('INV500 '!$V$3:$V$990*('INV500 '!$C$3:$C$990=$C16)*('INV500 '!$T$3:$T$990&lt;'Asset % to Portfolio'!$D$7)*('INV500 '!$T$3:$T$990&gt;='Asset % to Portfolio'!$C$7)*('INV500 '!$O$3:$O$990&lt;&gt;"M"))*1000</f>
        <v>0</v>
      </c>
      <c r="M16" s="16"/>
      <c r="N16" s="18"/>
      <c r="O16" s="13"/>
      <c r="P16" s="15">
        <f>SUMPRODUCT('INV500 '!$V$3:$V$990*('INV500 '!$C$3:$C$990=$B16)*('INV500 '!$T$3:$T$990&lt;'Asset % to Portfolio'!$E$7)*('INV500 '!$T$3:$T$990&gt;='Asset % to Portfolio'!$D$7)*('INV500 '!$O$3:$O$990&lt;&gt;"M"))*1000+SUMPRODUCT('INV500 '!$V$3:$V$990*('INV500 '!$C$3:$C$990=$C16)*('INV500 '!$T$3:$T$990&lt;'Asset % to Portfolio'!$E$7)*('INV500 '!$T$3:$T$990&gt;='Asset % to Portfolio'!$D$7)*('INV500 '!$O$3:$O$990&lt;&gt;"M"))*1000</f>
        <v>0</v>
      </c>
      <c r="Q16" s="16"/>
      <c r="R16" s="18"/>
      <c r="T16" s="15">
        <f>SUMPRODUCT('INV500 '!$V$3:$V$990*('INV500 '!$C$3:$C$990=$B16)*('INV500 '!$T$3:$T$990&gt;='Asset % to Portfolio'!$E$7)*('INV500 '!$O$3:$O$990&lt;&gt;"M"))*1000+SUMPRODUCT('INV500 '!$V$3:$V$990*('INV500 '!$C$3:$C$990=$C16)*('INV500 '!$T$3:$T$990&gt;='Asset % to Portfolio'!$E$7)*('INV500 '!$O$3:$O$990&lt;&gt;"M"))*1000</f>
        <v>100000000</v>
      </c>
      <c r="U16" s="16"/>
      <c r="V16" s="18"/>
      <c r="X16" s="38">
        <f t="shared" si="0"/>
        <v>100000000</v>
      </c>
    </row>
    <row r="17" spans="1:24" s="6" customFormat="1" ht="15.6" customHeight="1">
      <c r="A17" s="13" t="s">
        <v>53</v>
      </c>
      <c r="B17" s="13">
        <v>62</v>
      </c>
      <c r="C17" s="13"/>
      <c r="D17" s="13"/>
      <c r="E17" s="13"/>
      <c r="F17" s="13"/>
      <c r="G17" s="13"/>
      <c r="H17" s="15">
        <f>SUMPRODUCT('INV500 '!$V$3:$V$990*('INV500 '!$C$3:$C$990=$B17)*('INV500 '!$T$3:$T$990&lt;'Asset % to Portfolio'!$C$7)*('INV500 '!$O$3:$O$990&lt;&gt;"M")*1000)</f>
        <v>0</v>
      </c>
      <c r="I17" s="16"/>
      <c r="J17" s="17"/>
      <c r="K17" s="13"/>
      <c r="L17" s="15">
        <f>SUMPRODUCT('INV500 '!$V$3:$V$990*('INV500 '!$C$3:$C$990=$B17)*('INV500 '!$T$3:$T$990&lt;'Asset % to Portfolio'!$D$7)*('INV500 '!$T$3:$T$990&gt;='Asset % to Portfolio'!$C$7)*('INV500 '!$O$3:$O$990&lt;&gt;"M"))*1000</f>
        <v>0</v>
      </c>
      <c r="M17" s="16"/>
      <c r="N17" s="18"/>
      <c r="O17" s="13"/>
      <c r="P17" s="15">
        <f>SUMPRODUCT('INV500 '!$V$3:$V$990*('INV500 '!$C$3:$C$990=$B17)*('INV500 '!$T$3:$T$990&lt;'Asset % to Portfolio'!$E$7)*('INV500 '!$T$3:$T$990&gt;='Asset % to Portfolio'!$D$7)*('INV500 '!$O$3:$O$990&lt;&gt;"M"))*1000</f>
        <v>0</v>
      </c>
      <c r="Q17" s="16"/>
      <c r="R17" s="18"/>
      <c r="T17" s="15">
        <f>SUMPRODUCT('INV500 '!$V$3:$V$990*('INV500 '!$C$3:$C$990=$B17)*('INV500 '!$T$3:$T$990&gt;='Asset % to Portfolio'!$E$7)*('INV500 '!$O$3:$O$990&lt;&gt;"M"))*1000</f>
        <v>1530000000</v>
      </c>
      <c r="U17" s="16"/>
      <c r="V17" s="18"/>
      <c r="X17" s="36">
        <f t="shared" si="0"/>
        <v>1530000000</v>
      </c>
    </row>
    <row r="18" spans="1:24" s="6" customFormat="1" ht="15.6" customHeight="1">
      <c r="A18" s="13" t="s">
        <v>56</v>
      </c>
      <c r="B18" s="13">
        <v>70</v>
      </c>
      <c r="C18" s="13"/>
      <c r="D18" s="13"/>
      <c r="E18" s="13"/>
      <c r="F18" s="13"/>
      <c r="G18" s="13"/>
      <c r="H18" s="15">
        <f>SUMPRODUCT('INV500 '!$V$3:$V$990*('INV500 '!$C$3:$C$990=$B18)*('INV500 '!$T$3:$T$990&lt;'Asset % to Portfolio'!$C$7)*('INV500 '!$O$3:$O$990&lt;&gt;"M")*1000)</f>
        <v>0</v>
      </c>
      <c r="I18" s="16"/>
      <c r="J18" s="17"/>
      <c r="K18" s="13"/>
      <c r="L18" s="15">
        <f>SUMPRODUCT('INV500 '!$V$3:$V$990*('INV500 '!$C$3:$C$990=$B18)*('INV500 '!$T$3:$T$990&lt;'Asset % to Portfolio'!$D$7)*('INV500 '!$T$3:$T$990&gt;='Asset % to Portfolio'!$C$7)*('INV500 '!$O$3:$O$990&lt;&gt;"M"))*1000</f>
        <v>0</v>
      </c>
      <c r="M18" s="16"/>
      <c r="N18" s="18"/>
      <c r="O18" s="13"/>
      <c r="P18" s="15">
        <f>SUMPRODUCT('INV500 '!$V$3:$V$990*('INV500 '!$C$3:$C$990=$B18)*('INV500 '!$T$3:$T$990&lt;'Asset % to Portfolio'!$E$7)*('INV500 '!$T$3:$T$990&gt;='Asset % to Portfolio'!$D$7)*('INV500 '!$O$3:$O$990&lt;&gt;"M"))*1000</f>
        <v>0</v>
      </c>
      <c r="Q18" s="16"/>
      <c r="R18" s="18"/>
      <c r="T18" s="15">
        <f>SUMPRODUCT('INV500 '!$V$3:$V$990*('INV500 '!$C$3:$C$990=$B18)*('INV500 '!$T$3:$T$990&gt;='Asset % to Portfolio'!$E$7)*('INV500 '!$O$3:$O$990&lt;&gt;"M"))*1000</f>
        <v>1050000000</v>
      </c>
      <c r="U18" s="16"/>
      <c r="V18" s="18"/>
      <c r="X18" s="36">
        <f t="shared" si="0"/>
        <v>1050000000</v>
      </c>
    </row>
    <row r="19" spans="1:24" s="6" customFormat="1" ht="6.95" customHeight="1">
      <c r="A19" s="13"/>
      <c r="B19" s="13"/>
      <c r="C19" s="13"/>
      <c r="D19" s="13"/>
      <c r="E19" s="13"/>
      <c r="F19" s="13"/>
      <c r="G19" s="13"/>
      <c r="H19" s="19"/>
      <c r="I19" s="16"/>
      <c r="J19" s="20"/>
      <c r="K19" s="13"/>
      <c r="L19" s="19"/>
      <c r="M19" s="16"/>
      <c r="N19" s="18"/>
      <c r="O19" s="13"/>
      <c r="P19" s="19"/>
      <c r="Q19" s="16"/>
      <c r="R19" s="18"/>
      <c r="T19" s="19"/>
      <c r="U19" s="16"/>
      <c r="V19" s="18"/>
      <c r="X19" s="2"/>
    </row>
    <row r="20" spans="1:24" s="6" customFormat="1" ht="15.75">
      <c r="A20" s="21" t="s">
        <v>44</v>
      </c>
      <c r="B20" s="21"/>
      <c r="C20" s="21"/>
      <c r="D20" s="21"/>
      <c r="E20" s="21"/>
      <c r="F20" s="21"/>
      <c r="G20" s="21"/>
      <c r="H20" s="15">
        <f>SUM(H7:H19)</f>
        <v>0</v>
      </c>
      <c r="I20" s="16"/>
      <c r="J20" s="17">
        <f>$H20/$I$3</f>
        <v>0</v>
      </c>
      <c r="K20" s="13"/>
      <c r="L20" s="15">
        <f>SUM(L7:L19)</f>
        <v>0</v>
      </c>
      <c r="M20" s="16"/>
      <c r="N20" s="22">
        <f>$L20/$I$3</f>
        <v>0</v>
      </c>
      <c r="O20" s="13"/>
      <c r="P20" s="15">
        <f>SUM(P7:P19)</f>
        <v>0</v>
      </c>
      <c r="Q20" s="16"/>
      <c r="R20" s="22">
        <f>$P20/$I$3</f>
        <v>0</v>
      </c>
      <c r="T20" s="15">
        <f>SUM(T7:T19)</f>
        <v>5991000000</v>
      </c>
      <c r="U20" s="16"/>
      <c r="V20" s="22">
        <f>$T20/$I$3</f>
        <v>0.46967646881999126</v>
      </c>
      <c r="X20" s="37" t="b">
        <f>(H20+L20+P20+T20)=SUM([1]Reporting!D202:D289)+[1]Reporting!D197+[1]Reporting!D327+[1]Reporting!D344</f>
        <v>0</v>
      </c>
    </row>
    <row r="21" spans="1:24" s="6" customFormat="1" ht="15.75">
      <c r="A21" s="13"/>
      <c r="B21" s="13"/>
      <c r="C21" s="13"/>
      <c r="D21" s="13"/>
      <c r="E21" s="13"/>
      <c r="F21" s="13"/>
      <c r="G21" s="13"/>
      <c r="H21" s="23"/>
      <c r="I21" s="24"/>
      <c r="J21" s="25"/>
      <c r="K21" s="13"/>
      <c r="L21" s="26"/>
      <c r="M21" s="27"/>
      <c r="N21" s="28"/>
      <c r="O21" s="13"/>
      <c r="P21" s="26"/>
      <c r="Q21" s="27"/>
      <c r="R21" s="28"/>
      <c r="T21" s="26"/>
      <c r="U21" s="27"/>
      <c r="V21" s="28"/>
    </row>
    <row r="22" spans="1:24" s="6" customFormat="1" ht="15.75">
      <c r="A22" s="13"/>
      <c r="B22" s="13"/>
      <c r="C22" s="13"/>
      <c r="D22" s="13"/>
      <c r="E22" s="13"/>
      <c r="F22" s="13"/>
      <c r="G22" s="13"/>
      <c r="H22" s="29"/>
      <c r="I22" s="29"/>
      <c r="J22" s="29"/>
      <c r="K22" s="13"/>
      <c r="L22" s="422" t="s">
        <v>65</v>
      </c>
      <c r="M22" s="422"/>
      <c r="N22" s="422"/>
      <c r="O22" s="13"/>
      <c r="P22" s="422" t="s">
        <v>66</v>
      </c>
      <c r="Q22" s="422"/>
      <c r="R22" s="422"/>
      <c r="T22" s="422" t="s">
        <v>67</v>
      </c>
      <c r="U22" s="422"/>
      <c r="V22" s="422"/>
    </row>
    <row r="23" spans="1:24" s="6" customFormat="1" ht="15.75"/>
    <row r="24" spans="1:24" s="6" customFormat="1" ht="15.75"/>
    <row r="25" spans="1:24" s="6" customFormat="1" ht="15.75">
      <c r="A25" s="9" t="s">
        <v>34</v>
      </c>
      <c r="H25" s="30"/>
      <c r="I25" s="31"/>
      <c r="J25" s="32"/>
    </row>
    <row r="26" spans="1:24" s="6" customFormat="1" ht="15.75">
      <c r="A26" s="7" t="s">
        <v>47</v>
      </c>
      <c r="B26" s="13">
        <v>60</v>
      </c>
      <c r="C26" s="9"/>
      <c r="D26" s="9"/>
      <c r="E26" s="9"/>
      <c r="F26" s="9"/>
      <c r="G26" s="9"/>
      <c r="H26" s="10" t="s">
        <v>32</v>
      </c>
      <c r="I26" s="11"/>
      <c r="J26" s="12" t="s">
        <v>33</v>
      </c>
      <c r="K26" s="9"/>
      <c r="L26" s="9"/>
      <c r="M26" s="9"/>
      <c r="N26" s="9"/>
      <c r="O26" s="9"/>
    </row>
    <row r="27" spans="1:24" s="6" customFormat="1" ht="15.75">
      <c r="A27" s="13" t="s">
        <v>36</v>
      </c>
      <c r="B27" s="13">
        <v>30</v>
      </c>
      <c r="C27" s="14">
        <f>$A$4+$B27</f>
        <v>30</v>
      </c>
      <c r="D27" s="14"/>
      <c r="E27" s="13"/>
      <c r="F27" s="13"/>
      <c r="G27" s="13"/>
      <c r="H27" s="15">
        <f>SUMPRODUCT('INV500 '!$V$3:$V$990*('INV500 '!$C$3:$C$990=$B$26)*('INV500 '!$T$3:$T$990&lt;='Asset % to Portfolio'!$C$27)*('INV500 '!$O$3:$O$990&lt;&gt;"M"))*1000</f>
        <v>0</v>
      </c>
      <c r="I27" s="16"/>
      <c r="J27" s="20"/>
      <c r="K27" s="13"/>
      <c r="L27" s="13"/>
      <c r="M27" s="13"/>
      <c r="N27" s="13"/>
      <c r="O27" s="13"/>
    </row>
    <row r="28" spans="1:24" s="6" customFormat="1" ht="15.75">
      <c r="A28" s="13" t="s">
        <v>37</v>
      </c>
      <c r="B28" s="13">
        <v>60</v>
      </c>
      <c r="C28" s="14">
        <f t="shared" ref="C28:C35" si="1">$A$4+$B28</f>
        <v>60</v>
      </c>
      <c r="D28" s="14"/>
      <c r="E28" s="13"/>
      <c r="F28" s="13"/>
      <c r="G28" s="13"/>
      <c r="H28" s="15">
        <f>SUMPRODUCT('INV500 '!$V$3:$V$990*('INV500 '!$C$3:$C$990=$B$26)*('INV500 '!$T$3:$T$990&lt;='Asset % to Portfolio'!$C28)*('INV500 '!$T$3:$T$990&gt;'Asset % to Portfolio'!$C27)*('INV500 '!$O$3:$O$990&lt;&gt;"M"))*1000</f>
        <v>0</v>
      </c>
      <c r="I28" s="16"/>
      <c r="J28" s="20"/>
      <c r="K28" s="13"/>
      <c r="L28" s="13"/>
      <c r="M28" s="13"/>
      <c r="N28" s="13"/>
      <c r="O28" s="13"/>
    </row>
    <row r="29" spans="1:24" s="6" customFormat="1" ht="15.75">
      <c r="A29" s="13" t="s">
        <v>38</v>
      </c>
      <c r="B29" s="13">
        <v>90</v>
      </c>
      <c r="C29" s="14">
        <f t="shared" si="1"/>
        <v>90</v>
      </c>
      <c r="D29" s="14"/>
      <c r="E29" s="13"/>
      <c r="F29" s="13"/>
      <c r="G29" s="13"/>
      <c r="H29" s="15">
        <f>SUMPRODUCT('INV500 '!$V$3:$V$990*('INV500 '!$C$3:$C$990=$B$26)*('INV500 '!$T$3:$T$990&lt;='Asset % to Portfolio'!$C29)*('INV500 '!$T$3:$T$990&gt;'Asset % to Portfolio'!$C28)*('INV500 '!$O$3:$O$990&lt;&gt;"M"))*1000</f>
        <v>0</v>
      </c>
      <c r="I29" s="16"/>
      <c r="J29" s="20"/>
      <c r="K29" s="13"/>
      <c r="L29" s="13"/>
      <c r="M29" s="13"/>
      <c r="N29" s="13"/>
      <c r="O29" s="13"/>
    </row>
    <row r="30" spans="1:24" s="6" customFormat="1" ht="15.75">
      <c r="A30" s="13" t="s">
        <v>40</v>
      </c>
      <c r="B30" s="13">
        <v>120</v>
      </c>
      <c r="C30" s="14">
        <f t="shared" si="1"/>
        <v>120</v>
      </c>
      <c r="D30" s="14"/>
      <c r="E30" s="13"/>
      <c r="F30" s="13"/>
      <c r="G30" s="13"/>
      <c r="H30" s="15">
        <f>SUMPRODUCT('INV500 '!$V$3:$V$990*('INV500 '!$C$3:$C$990=$B$26)*('INV500 '!$T$3:$T$990&lt;='Asset % to Portfolio'!$C30)*('INV500 '!$T$3:$T$990&gt;'Asset % to Portfolio'!$C29)*('INV500 '!$O$3:$O$990&lt;&gt;"M"))*1000</f>
        <v>0</v>
      </c>
      <c r="I30" s="16"/>
      <c r="J30" s="18"/>
    </row>
    <row r="31" spans="1:24" s="6" customFormat="1" ht="15.75">
      <c r="A31" s="13" t="s">
        <v>41</v>
      </c>
      <c r="B31" s="13">
        <v>150</v>
      </c>
      <c r="C31" s="14">
        <f t="shared" si="1"/>
        <v>150</v>
      </c>
      <c r="D31" s="14"/>
      <c r="E31" s="13"/>
      <c r="F31" s="13"/>
      <c r="G31" s="13"/>
      <c r="H31" s="15">
        <f>SUMPRODUCT('INV500 '!$V$3:$V$990*('INV500 '!$C$3:$C$990=$B$26)*('INV500 '!$T$3:$T$990&lt;='Asset % to Portfolio'!$C31)*('INV500 '!$T$3:$T$990&gt;'Asset % to Portfolio'!$C30)*('INV500 '!$O$3:$O$990&lt;&gt;"M"))*1000</f>
        <v>0</v>
      </c>
      <c r="I31" s="16"/>
      <c r="J31" s="18"/>
    </row>
    <row r="32" spans="1:24" s="6" customFormat="1" ht="15.75">
      <c r="A32" s="13" t="s">
        <v>42</v>
      </c>
      <c r="B32" s="13">
        <v>180</v>
      </c>
      <c r="C32" s="14">
        <f t="shared" si="1"/>
        <v>180</v>
      </c>
      <c r="D32" s="14"/>
      <c r="E32" s="13"/>
      <c r="F32" s="13"/>
      <c r="G32" s="13"/>
      <c r="H32" s="15">
        <f>SUMPRODUCT('INV500 '!$V$3:$V$990*('INV500 '!$C$3:$C$990=$B$26)*('INV500 '!$T$3:$T$990&lt;='Asset % to Portfolio'!$C32)*('INV500 '!$T$3:$T$990&gt;'Asset % to Portfolio'!$C31)*('INV500 '!$O$3:$O$990&lt;&gt;"M"))*1000</f>
        <v>0</v>
      </c>
      <c r="I32" s="16"/>
      <c r="J32" s="18"/>
    </row>
    <row r="33" spans="1:10" s="6" customFormat="1" ht="15.75">
      <c r="A33" s="13" t="s">
        <v>48</v>
      </c>
      <c r="B33" s="13">
        <v>210</v>
      </c>
      <c r="C33" s="14">
        <f t="shared" si="1"/>
        <v>210</v>
      </c>
      <c r="D33" s="14"/>
      <c r="E33" s="13"/>
      <c r="F33" s="13"/>
      <c r="G33" s="13"/>
      <c r="H33" s="15">
        <f>SUMPRODUCT('INV500 '!$V$3:$V$990*('INV500 '!$C$3:$C$990=$B$26)*('INV500 '!$T$3:$T$990&lt;='Asset % to Portfolio'!$C33)*('INV500 '!$T$3:$T$990&gt;'Asset % to Portfolio'!$C32)*('INV500 '!$O$3:$O$990&lt;&gt;"M"))*1000</f>
        <v>0</v>
      </c>
      <c r="I33" s="16"/>
      <c r="J33" s="18"/>
    </row>
    <row r="34" spans="1:10" s="6" customFormat="1" ht="15.75">
      <c r="A34" s="13" t="s">
        <v>49</v>
      </c>
      <c r="B34" s="13">
        <v>240</v>
      </c>
      <c r="C34" s="14">
        <f t="shared" si="1"/>
        <v>240</v>
      </c>
      <c r="D34" s="14"/>
      <c r="E34" s="13"/>
      <c r="F34" s="13"/>
      <c r="G34" s="13"/>
      <c r="H34" s="15">
        <f>SUMPRODUCT('INV500 '!$V$3:$V$990*('INV500 '!$C$3:$C$990=$B$26)*('INV500 '!$T$3:$T$990&lt;='Asset % to Portfolio'!$C34)*('INV500 '!$T$3:$T$990&gt;'Asset % to Portfolio'!$C33)*('INV500 '!$O$3:$O$990&lt;&gt;"M"))*1000</f>
        <v>0</v>
      </c>
      <c r="I34" s="16"/>
      <c r="J34" s="18"/>
    </row>
    <row r="35" spans="1:10" s="6" customFormat="1" ht="15.75">
      <c r="A35" s="13" t="s">
        <v>50</v>
      </c>
      <c r="B35" s="13">
        <v>270</v>
      </c>
      <c r="C35" s="14">
        <f t="shared" si="1"/>
        <v>270</v>
      </c>
      <c r="D35" s="14"/>
      <c r="E35" s="13"/>
      <c r="F35" s="13"/>
      <c r="G35" s="13"/>
      <c r="H35" s="15">
        <f>SUMPRODUCT('INV500 '!$V$3:$V$990*('INV500 '!$C$3:$C$990=$B$26)*('INV500 '!$T$3:$T$990&lt;='Asset % to Portfolio'!$C35)*('INV500 '!$T$3:$T$990&gt;'Asset % to Portfolio'!$C34)*('INV500 '!$O$3:$O$990&lt;&gt;"M"))*1000</f>
        <v>0</v>
      </c>
      <c r="I35" s="16"/>
      <c r="J35" s="18"/>
    </row>
    <row r="36" spans="1:10" s="6" customFormat="1" ht="6.95" customHeight="1">
      <c r="H36" s="19"/>
      <c r="I36" s="16"/>
      <c r="J36" s="18"/>
    </row>
    <row r="37" spans="1:10" s="6" customFormat="1" ht="15.75">
      <c r="A37" s="21" t="s">
        <v>43</v>
      </c>
      <c r="B37" s="21"/>
      <c r="C37" s="21"/>
      <c r="D37" s="21"/>
      <c r="E37" s="21"/>
      <c r="F37" s="21"/>
      <c r="G37" s="21"/>
      <c r="H37" s="15">
        <f>SUM(H27:H36)</f>
        <v>0</v>
      </c>
      <c r="I37" s="16"/>
      <c r="J37" s="22">
        <f>$H37/$I$3</f>
        <v>0</v>
      </c>
    </row>
    <row r="38" spans="1:10" s="6" customFormat="1" ht="8.1" customHeight="1">
      <c r="A38" s="21"/>
      <c r="B38" s="21"/>
      <c r="C38" s="21"/>
      <c r="D38" s="21"/>
      <c r="E38" s="21"/>
      <c r="F38" s="21"/>
      <c r="G38" s="21"/>
      <c r="H38" s="15"/>
      <c r="I38" s="16"/>
      <c r="J38" s="22"/>
    </row>
    <row r="39" spans="1:10" s="6" customFormat="1" ht="15.75">
      <c r="A39" s="7" t="s">
        <v>51</v>
      </c>
      <c r="B39" s="21"/>
      <c r="C39" s="21"/>
      <c r="D39" s="21"/>
      <c r="E39" s="21"/>
      <c r="F39" s="21"/>
      <c r="G39" s="21"/>
      <c r="H39" s="15">
        <f>SUM(H33:H35)</f>
        <v>0</v>
      </c>
      <c r="I39" s="16"/>
      <c r="J39" s="22">
        <f>H39/I3</f>
        <v>0</v>
      </c>
    </row>
    <row r="40" spans="1:10" s="6" customFormat="1" ht="15.75">
      <c r="A40" s="33" t="s">
        <v>52</v>
      </c>
      <c r="H40" s="26"/>
      <c r="I40" s="27"/>
      <c r="J40" s="28"/>
    </row>
    <row r="41" spans="1:10" s="6" customFormat="1" ht="15.75"/>
    <row r="42" spans="1:10" s="6" customFormat="1" ht="15.75"/>
    <row r="43" spans="1:10">
      <c r="C43" s="3"/>
      <c r="D43" s="3"/>
    </row>
  </sheetData>
  <mergeCells count="8">
    <mergeCell ref="L22:N22"/>
    <mergeCell ref="P22:R22"/>
    <mergeCell ref="T22:V22"/>
    <mergeCell ref="I3:K3"/>
    <mergeCell ref="P5:R5"/>
    <mergeCell ref="T5:V5"/>
    <mergeCell ref="H5:J5"/>
    <mergeCell ref="L5:N5"/>
  </mergeCells>
  <phoneticPr fontId="150" type="noConversion"/>
  <conditionalFormatting sqref="J39">
    <cfRule type="cellIs" dxfId="11" priority="5" stopIfTrue="1" operator="greaterThan">
      <formula>0.05</formula>
    </cfRule>
    <cfRule type="cellIs" dxfId="10" priority="6" stopIfTrue="1" operator="between">
      <formula>0.04</formula>
      <formula>0.05</formula>
    </cfRule>
  </conditionalFormatting>
  <conditionalFormatting sqref="N20">
    <cfRule type="cellIs" dxfId="9" priority="3" stopIfTrue="1" operator="between">
      <formula>0.5</formula>
      <formula>0.549</formula>
    </cfRule>
    <cfRule type="cellIs" dxfId="8" priority="4" stopIfTrue="1" operator="greaterThan">
      <formula>0.55</formula>
    </cfRule>
  </conditionalFormatting>
  <conditionalFormatting sqref="R20">
    <cfRule type="cellIs" dxfId="7" priority="7" stopIfTrue="1" operator="between">
      <formula>0.25</formula>
      <formula>0.299</formula>
    </cfRule>
    <cfRule type="cellIs" dxfId="6" priority="8" stopIfTrue="1" operator="greaterThan">
      <formula>0.3</formula>
    </cfRule>
  </conditionalFormatting>
  <conditionalFormatting sqref="V20">
    <cfRule type="cellIs" dxfId="5" priority="1" stopIfTrue="1" operator="between">
      <formula>0.1</formula>
      <formula>0.149</formula>
    </cfRule>
    <cfRule type="cellIs" dxfId="4" priority="2" stopIfTrue="1" operator="greaterThan">
      <formula>0.15</formula>
    </cfRule>
  </conditionalFormatting>
  <pageMargins left="0.25" right="0.25" top="0.5" bottom="0.5" header="0.3" footer="0.3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4"/>
  <sheetViews>
    <sheetView zoomScaleNormal="100" workbookViewId="0">
      <selection activeCell="F19" sqref="F19"/>
    </sheetView>
  </sheetViews>
  <sheetFormatPr defaultColWidth="9.140625" defaultRowHeight="15" outlineLevelRow="1" outlineLevelCol="1"/>
  <cols>
    <col min="1" max="1" width="23" style="64" bestFit="1" customWidth="1"/>
    <col min="2" max="2" width="32" style="64" hidden="1" customWidth="1" outlineLevel="1"/>
    <col min="3" max="3" width="18.7109375" style="64" bestFit="1" customWidth="1" collapsed="1"/>
    <col min="4" max="4" width="18" style="64" bestFit="1" customWidth="1"/>
    <col min="5" max="5" width="18.28515625" style="64" bestFit="1" customWidth="1"/>
    <col min="6" max="6" width="18.85546875" style="64" customWidth="1"/>
    <col min="7" max="8" width="17.140625" style="64" bestFit="1" customWidth="1"/>
    <col min="9" max="9" width="19.140625" style="64" bestFit="1" customWidth="1"/>
    <col min="10" max="12" width="17" style="64" bestFit="1" customWidth="1"/>
    <col min="13" max="13" width="24.140625" style="64" bestFit="1" customWidth="1"/>
    <col min="14" max="14" width="22.140625" style="64" bestFit="1" customWidth="1"/>
    <col min="15" max="15" width="17" style="64" bestFit="1" customWidth="1"/>
    <col min="16" max="16" width="17.5703125" style="64" bestFit="1" customWidth="1"/>
    <col min="17" max="17" width="16.5703125" style="64" customWidth="1"/>
    <col min="18" max="18" width="9.140625" style="64" customWidth="1"/>
    <col min="19" max="19" width="13.7109375" style="64" hidden="1" customWidth="1" outlineLevel="1"/>
    <col min="20" max="20" width="11.5703125" style="64" hidden="1" customWidth="1" outlineLevel="1"/>
    <col min="21" max="21" width="9.140625" style="64" collapsed="1"/>
    <col min="22" max="16384" width="9.140625" style="64"/>
  </cols>
  <sheetData>
    <row r="1" spans="1:20" ht="15.75" thickBot="1">
      <c r="A1" s="63" t="s">
        <v>226</v>
      </c>
      <c r="B1" s="63"/>
      <c r="N1" s="65" t="s">
        <v>128</v>
      </c>
    </row>
    <row r="2" spans="1:20">
      <c r="A2" s="66" t="str">
        <f>"Portfolio Reporting as of " &amp; TEXT(WebPosting!$K$1,"MMMM DD, YYYY")</f>
        <v>Portfolio Reporting as of March 31, 2017</v>
      </c>
      <c r="B2" s="66"/>
      <c r="E2" s="427" t="s">
        <v>118</v>
      </c>
      <c r="F2" s="428"/>
      <c r="G2" s="428"/>
      <c r="H2" s="428"/>
      <c r="I2" s="428"/>
      <c r="J2" s="428"/>
      <c r="K2" s="428"/>
      <c r="L2" s="429"/>
      <c r="N2" s="67">
        <v>0</v>
      </c>
    </row>
    <row r="3" spans="1:20">
      <c r="A3" s="68" t="s">
        <v>117</v>
      </c>
      <c r="B3" s="69"/>
      <c r="C3" s="180">
        <f>C21</f>
        <v>10826580000</v>
      </c>
      <c r="E3" s="430" t="s">
        <v>302</v>
      </c>
      <c r="F3" s="431"/>
      <c r="G3" s="431"/>
      <c r="H3" s="431"/>
      <c r="I3" s="431"/>
      <c r="J3" s="431"/>
      <c r="K3" s="431"/>
      <c r="L3" s="432"/>
    </row>
    <row r="4" spans="1:20">
      <c r="A4" s="70" t="s">
        <v>116</v>
      </c>
      <c r="B4" s="71"/>
      <c r="C4" s="179">
        <f>(G21+L13)/C3</f>
        <v>1.0457274205915973E-2</v>
      </c>
      <c r="D4" s="72"/>
      <c r="E4" s="430"/>
      <c r="F4" s="431"/>
      <c r="G4" s="431"/>
      <c r="H4" s="431"/>
      <c r="I4" s="431"/>
      <c r="J4" s="431"/>
      <c r="K4" s="431"/>
      <c r="L4" s="432"/>
    </row>
    <row r="5" spans="1:20">
      <c r="A5" s="70" t="s">
        <v>230</v>
      </c>
      <c r="B5" s="71"/>
      <c r="C5" s="73">
        <f>E21</f>
        <v>229.06815457882357</v>
      </c>
      <c r="E5" s="430"/>
      <c r="F5" s="431"/>
      <c r="G5" s="431"/>
      <c r="H5" s="431"/>
      <c r="I5" s="431"/>
      <c r="J5" s="431"/>
      <c r="K5" s="431"/>
      <c r="L5" s="432"/>
    </row>
    <row r="6" spans="1:20" ht="15.75" thickBot="1">
      <c r="A6" s="74" t="s">
        <v>228</v>
      </c>
      <c r="B6" s="75"/>
      <c r="C6" s="178">
        <f>G21+L13</f>
        <v>113216515.77228576</v>
      </c>
      <c r="E6" s="433"/>
      <c r="F6" s="434"/>
      <c r="G6" s="434"/>
      <c r="H6" s="434"/>
      <c r="I6" s="434"/>
      <c r="J6" s="434"/>
      <c r="K6" s="434"/>
      <c r="L6" s="435"/>
    </row>
    <row r="7" spans="1:20">
      <c r="E7" s="76"/>
      <c r="F7" s="76"/>
      <c r="G7" s="76"/>
      <c r="H7" s="76"/>
      <c r="I7" s="76"/>
      <c r="J7" s="76"/>
      <c r="K7" s="76"/>
      <c r="L7" s="76"/>
    </row>
    <row r="8" spans="1:20" ht="15.75" thickBot="1"/>
    <row r="9" spans="1:20" ht="15.75" thickBot="1">
      <c r="A9" s="427" t="s">
        <v>115</v>
      </c>
      <c r="B9" s="428"/>
      <c r="C9" s="428"/>
      <c r="D9" s="428"/>
      <c r="E9" s="428"/>
      <c r="F9" s="428"/>
      <c r="G9" s="429"/>
      <c r="I9" s="71"/>
      <c r="J9" s="77"/>
      <c r="K9" s="77"/>
      <c r="L9" s="71"/>
    </row>
    <row r="10" spans="1:20" ht="30">
      <c r="A10" s="78" t="s">
        <v>35</v>
      </c>
      <c r="B10" s="79"/>
      <c r="C10" s="79" t="s">
        <v>114</v>
      </c>
      <c r="D10" s="79" t="s">
        <v>113</v>
      </c>
      <c r="E10" s="80" t="s">
        <v>112</v>
      </c>
      <c r="F10" s="80" t="s">
        <v>111</v>
      </c>
      <c r="G10" s="81" t="s">
        <v>110</v>
      </c>
      <c r="I10" s="82" t="s">
        <v>109</v>
      </c>
      <c r="J10" s="83" t="s">
        <v>108</v>
      </c>
      <c r="K10" s="83" t="s">
        <v>107</v>
      </c>
      <c r="L10" s="84" t="s">
        <v>106</v>
      </c>
    </row>
    <row r="11" spans="1:20">
      <c r="A11" s="85" t="s">
        <v>72</v>
      </c>
      <c r="B11" s="71"/>
      <c r="C11" s="110">
        <f>SUMPRODUCT('INV500 '!$V$3:$V$501*('INV500 '!$C$3:$C$501=$B68)*('INV500 '!$F$3:$F$501="REGULAR  17412700             ")*('INV500 '!$O$3:$O$501&lt;&gt;"M")*1000)</f>
        <v>1490225000</v>
      </c>
      <c r="D11" s="88">
        <f t="shared" ref="D11:D20" si="0">C11/$C$21</f>
        <v>0.13764503656741095</v>
      </c>
      <c r="E11" s="181">
        <f>SUMPRODUCT('INV500 '!$M$3:$M$501*('INV500 '!$C$3:$C$501=$B68)*('INV500 '!$F$3:$F$501="REGULAR  17412700             ")*('INV500 '!$O$3:$O$501&lt;&gt;"M"))/$C$11</f>
        <v>3</v>
      </c>
      <c r="F11" s="182">
        <f>SUMPRODUCT('INV500 '!$N$3:$N$501*('INV500 '!$C$3:$C$501=10)*('INV500 '!$J$3:$J$501="REPURCHASE AGREEMENTS-REG                                   ")*('INV500 '!$O$3:$O$501&lt;&gt;"M"))/$C11</f>
        <v>7.4428861413544933E-3</v>
      </c>
      <c r="G11" s="86">
        <f t="shared" ref="G11:G17" si="1">C11*F11</f>
        <v>11091575</v>
      </c>
      <c r="I11" s="87" t="s">
        <v>81</v>
      </c>
      <c r="J11" s="88">
        <v>0.48230000000000001</v>
      </c>
      <c r="K11" s="89">
        <v>4.1110499999999998E-3</v>
      </c>
      <c r="L11" s="86">
        <f>C14*J11*K11</f>
        <v>5276221.9412857499</v>
      </c>
      <c r="S11" s="90">
        <f t="shared" ref="S11:S16" si="2">C11*E11/$C$21</f>
        <v>0.41293510970223285</v>
      </c>
      <c r="T11" s="90">
        <f t="shared" ref="T11:T16" si="3">C11*F11/$C$21</f>
        <v>1.0244763350938154E-3</v>
      </c>
    </row>
    <row r="12" spans="1:20">
      <c r="A12" s="85" t="s">
        <v>34</v>
      </c>
      <c r="B12" s="71"/>
      <c r="C12" s="183">
        <f>SUMPRODUCT('INV500 '!$V$3:$V$501*('INV500 '!$C$3:$C$501=$B69)*('INV500 '!$O$3:$O$501&lt;&gt;"M")*1000)</f>
        <v>2966300000</v>
      </c>
      <c r="D12" s="88">
        <f t="shared" si="0"/>
        <v>0.2739831045445561</v>
      </c>
      <c r="E12" s="181">
        <f>SUMPRODUCT('INV500 '!$M$3:$M$501*('INV500 '!$C$3:$C$501=$B69)*('INV500 '!$O$3:$O$501&lt;&gt;"M"))/$C$12</f>
        <v>69.781849442065877</v>
      </c>
      <c r="F12" s="182">
        <f>SUMPRODUCT('INV500 '!$N$3:$N$501*('INV500 '!$C$3:$C$501=60)*('INV500 '!$O$3:$O$501&lt;&gt;"M"))/$C12</f>
        <v>1.035234467181337E-2</v>
      </c>
      <c r="G12" s="86">
        <f t="shared" si="1"/>
        <v>30708160</v>
      </c>
      <c r="I12" s="91" t="s">
        <v>82</v>
      </c>
      <c r="J12" s="92">
        <v>0.99080000000000001</v>
      </c>
      <c r="K12" s="93">
        <v>4.8222029999999997E-3</v>
      </c>
      <c r="L12" s="94">
        <f>C13*J12*K12</f>
        <v>11944596.831</v>
      </c>
      <c r="S12" s="90">
        <f t="shared" si="2"/>
        <v>19.119047750998007</v>
      </c>
      <c r="T12" s="90">
        <f t="shared" si="3"/>
        <v>2.8363675324987207E-3</v>
      </c>
    </row>
    <row r="13" spans="1:20" ht="15.75" thickBot="1">
      <c r="A13" s="85" t="s">
        <v>82</v>
      </c>
      <c r="B13" s="71"/>
      <c r="C13" s="183">
        <f>SUMPRODUCT('INV500 '!$V$3:$V$501*('INV500 '!$C$3:$C$501=62)*('INV500 '!$O$3:$O$501&lt;&gt;"M")*('INV500 '!$H$3:$H$501&lt;&gt;"WELLS FARGO TH GEN 17412701   ")*1000)+SUMPRODUCT('INV500 '!$V$3:$V$501*('INV500 '!$C$3:$C$501=70)*('INV500 '!$O$3:$O$501&lt;&gt;"M")*1000)</f>
        <v>2500000000</v>
      </c>
      <c r="D13" s="88">
        <f t="shared" si="0"/>
        <v>0.23091317849219237</v>
      </c>
      <c r="E13" s="181">
        <f>(SUMPRODUCT('INV500 '!$M$3:$M$501*('INV500 '!$C$3:$C$501=62)*('INV500 '!$O$3:$O$501&lt;&gt;"M")*('INV500 '!$H$3:$H$501&lt;&gt;"WELLS FARGO TH GEN 17412701   "))+SUMPRODUCT('INV500 '!$M$3:$M$501*('INV500 '!$C$3:$C$501=70)*('INV500 '!$O$3:$O$501&lt;&gt;"M")))/C13</f>
        <v>187.58</v>
      </c>
      <c r="F13" s="113">
        <f>(SUMPRODUCT('INV500 '!$N$3:$N$501*('INV500 '!$C$3:$C$501=62)*('INV500 '!$O$3:$O$501&lt;&gt;"M")*('INV500 '!$H$3:$H$501&lt;&gt;"WELLS FARGO TH GEN 17412701   "))+SUMPRODUCT('INV500 '!$N$3:$N$501*('INV500 '!$C$3:$C$501=70)*('INV500 '!$O$3:$O$501&lt;&gt;"M")))/C$13</f>
        <v>6.9100000000000003E-3</v>
      </c>
      <c r="G13" s="86">
        <f t="shared" si="1"/>
        <v>17275000</v>
      </c>
      <c r="I13" s="95" t="s">
        <v>97</v>
      </c>
      <c r="J13" s="96"/>
      <c r="K13" s="96"/>
      <c r="L13" s="97">
        <f>L11+L12</f>
        <v>17220818.772285752</v>
      </c>
      <c r="S13" s="90">
        <f t="shared" si="2"/>
        <v>43.314694021565451</v>
      </c>
      <c r="T13" s="90">
        <f t="shared" si="3"/>
        <v>1.5956100633810492E-3</v>
      </c>
    </row>
    <row r="14" spans="1:20">
      <c r="A14" s="85" t="s">
        <v>81</v>
      </c>
      <c r="B14" s="71"/>
      <c r="C14" s="183">
        <f>SUMPRODUCT('INV500 '!$V$3:$V$501*('INV500 '!$C$3:$C$501=89)*('INV500 '!$O$3:$O$501&lt;&gt;"M")*('INV500 '!$H$3:$H$501&lt;&gt;"WELLS FARGO TH GEN 17412701   ")*1000)+SUMPRODUCT('INV500 '!$V$3:$V$501*('INV500 '!$C$3:$C$501=87)*('INV500 '!$O$3:$O$501&lt;&gt;"M")*('INV500 '!$H$3:$H$501&lt;&gt;"WELLS FARGO TH GEN 17412701   ")*1000)+SUMPRODUCT('INV500 '!$V$3:$V$501*('INV500 '!$C$3:$C$501=69)*('INV500 '!$O$3:$O$501&lt;&gt;"M")*('INV500 '!$H$3:$H$501&lt;&gt;"WELLS FARGO TH GEN 17412701   ")*1000)+SUMPRODUCT('INV500 '!$V$3:$V$501*('INV500 '!$C$3:$C$501=66)*('INV500 '!$O$3:$O$501&lt;&gt;"M")*('INV500 '!$H$3:$H$501&lt;&gt;"WELLS FARGO TH GEN 17412701   ")*1000)+SUMPRODUCT('INV500 '!$V$3:$V$501*('INV500 '!$C$3:$C$501=84)*('INV500 '!$O$3:$O$501&lt;&gt;"M")*('INV500 '!$H$3:$H$501&lt;&gt;"WELLS FARGO TH GEN 17412701   ")*1000)+SUMPRODUCT('INV500 '!$V$3:$V$501*('INV500 '!$C$3:$C$501=85)*('INV500 '!$O$3:$O$501&lt;&gt;"M")*('INV500 '!$H$3:$H$501&lt;&gt;"WELLS FARGO TH GEN 17412701   ")*1000)+SUMPRODUCT('INV500 '!$V$3:$V$501*('INV500 '!$C$3:$C$501=86)*('INV500 '!$O$3:$O$501&lt;&gt;"M")*('INV500 '!$H$3:$H$501&lt;&gt;"WELLS FARGO TH GEN 17412701   ")*1000)+SUMPRODUCT('INV500 '!$V$3:$V$501*('INV500 '!$C$3:$C$501=67)*('INV500 '!$O$3:$O$501&lt;&gt;"M")*('INV500 '!$H$3:$H$501&lt;&gt;"WELLS FARGO TH GEN 17412701   ")*1000)+SUMPRODUCT('INV500 '!$V$3:$V$501*('INV500 '!$C$3:$C$501=91)*('INV500 '!$O$3:$O$501&lt;&gt;"M")*('INV500 '!$H$3:$H$501&lt;&gt;"WELLS FARGO TH GEN 17412701   ")*1000)+SUMPRODUCT('INV500 '!$V$3:$V$501*('INV500 '!$C$3:$C$501=92)*('INV500 '!$O$3:$O$501&lt;&gt;"M")*('INV500 '!$H$3:$H$501&lt;&gt;"WELLS FARGO TH GEN 17412701   ")*1000)</f>
        <v>2661050000</v>
      </c>
      <c r="D14" s="88">
        <f t="shared" si="0"/>
        <v>0.24578860545065939</v>
      </c>
      <c r="E14" s="184">
        <f>(SUMPRODUCT('INV500 '!$M$3:$M$501*('INV500 '!$C$3:$C$501=89)*('INV500 '!$O$3:$O$501&lt;&gt;"M")*('INV500 '!$H$3:$H$501&lt;&gt;"WELLS FARGO TH GEN 17412701   "))+SUMPRODUCT('INV500 '!$M$3:$M$501*('INV500 '!$C$3:$C$501=87)*('INV500 '!$O$3:$O$501&lt;&gt;"M")*('INV500 '!$H$3:$H$501&lt;&gt;"WELLS FARGO TH GEN 17412701   "))+SUMPRODUCT('INV500 '!$M$3:$M$501*('INV500 '!$C$3:$C$501=69)*('INV500 '!$O$3:$O$501&lt;&gt;"M")*('INV500 '!$H$3:$H$501&lt;&gt;"WELLS FARGO TH GEN 17412701   "))+SUMPRODUCT('INV500 '!$M$3:$M$501*('INV500 '!$C$3:$C$501=66)*('INV500 '!$O$3:$O$501&lt;&gt;"M")*('INV500 '!$H$3:$H$501&lt;&gt;"WELLS FARGO TH GEN 17412701   "))+SUMPRODUCT('INV500 '!$M$3:$M$501*('INV500 '!$C$3:$C$501=84)*('INV500 '!$O$3:$O$501&lt;&gt;"M")*('INV500 '!$H$3:$H$501&lt;&gt;"WELLS FARGO TH GEN 17412701   "))+SUMPRODUCT('INV500 '!$M$3:$M$501*('INV500 '!$C$3:$C$501=92)*('INV500 '!$O$3:$O$501&lt;&gt;"M")*('INV500 '!$H$3:$H$501&lt;&gt;"WELLS FARGO TH GEN 17412701   "))+SUMPRODUCT('INV500 '!$M$3:$M$501*('INV500 '!$C$3:$C$501=91)*('INV500 '!$O$3:$O$501&lt;&gt;"M")*('INV500 '!$H$3:$H$501&lt;&gt;"WELLS FARGO TH GEN 17412701   "))+SUMPRODUCT('INV500 '!$M$3:$M$501*('INV500 '!$C$3:$C$501=67)*('INV500 '!$O$3:$O$501&lt;&gt;"M")*('INV500 '!$H$3:$H$501&lt;&gt;"WELLS FARGO TH GEN 17412701   "))+SUMPRODUCT('INV500 '!$M$3:$M$501*('INV500 '!$C$3:$C$501=85)*('INV500 '!$O$3:$O$501&lt;&gt;"M")*('INV500 '!$H$3:$H$501&lt;&gt;"WELLS FARGO TH GEN 17412701   "))+SUMPRODUCT('INV500 '!$M$3:$M$501*('INV500 '!$C$3:$C$501=86)*('INV500 '!$O$3:$O$501&lt;&gt;"M")*('INV500 '!$H$3:$H$501&lt;&gt;"WELLS FARGO TH GEN 17412701   ")))/$C$14</f>
        <v>636.64915954228593</v>
      </c>
      <c r="F14" s="113">
        <f>(SUMPRODUCT('INV500 '!$N$3:$N$501*('INV500 '!$C$3:$C$501=89)*('INV500 '!$O$3:$O$501&lt;&gt;"M")*('INV500 '!$H$3:$H$501&lt;&gt;"WELLS FARGO TH GEN 17412701   "))+SUMPRODUCT('INV500 '!$N$3:$N$501*('INV500 '!$C$3:$C$501=87)*('INV500 '!$O$3:$O$501&lt;&gt;"M")*('INV500 '!$H$3:$H$501&lt;&gt;"WELLS FARGO TH GEN 17412701   "))+SUMPRODUCT('INV500 '!$N$3:$N$501*('INV500 '!$C$3:$C$501=69)*('INV500 '!$O$3:$O$501&lt;&gt;"M")*('INV500 '!$H$3:$H$501&lt;&gt;"WELLS FARGO TH GEN 17412701   "))+SUMPRODUCT('INV500 '!$N$3:$N$501*('INV500 '!$C$3:$C$501=66)*('INV500 '!$O$3:$O$501&lt;&gt;"M")*('INV500 '!$H$3:$H$501&lt;&gt;"WELLS FARGO TH GEN 17412701   "))+SUMPRODUCT('INV500 '!$N$3:$N$501*('INV500 '!$C$3:$C$501=84)*('INV500 '!$O$3:$O$501&lt;&gt;"M")*('INV500 '!$H$3:$H$501&lt;&gt;"WELLS FARGO TH GEN 17412701   "))+SUMPRODUCT('INV500 '!$N$3:$N$501*('INV500 '!$C$3:$C$501=85)*('INV500 '!$O$3:$O$501&lt;&gt;"M")*('INV500 '!$H$3:$H$501&lt;&gt;"WELLS FARGO TH GEN 17412701   "))+SUMPRODUCT('INV500 '!$N$3:$N$501*('INV500 '!$C$3:$C$501=86)*('INV500 '!$O$3:$O$501&lt;&gt;"M")*('INV500 '!$H$3:$H$501&lt;&gt;"WELLS FARGO TH GEN 17412701   ")))/C$14</f>
        <v>1.0264918735085775E-2</v>
      </c>
      <c r="G14" s="86">
        <f t="shared" si="1"/>
        <v>27315462</v>
      </c>
      <c r="I14" s="64" t="s">
        <v>229</v>
      </c>
      <c r="S14" s="90">
        <f t="shared" si="2"/>
        <v>156.48110908523282</v>
      </c>
      <c r="T14" s="90">
        <f t="shared" si="3"/>
        <v>2.5230000609610791E-3</v>
      </c>
    </row>
    <row r="15" spans="1:20">
      <c r="A15" s="85" t="s">
        <v>68</v>
      </c>
      <c r="B15" s="71"/>
      <c r="C15" s="183">
        <f>SUMPRODUCT('INV500 '!$V$3:$V$501*('INV500 '!$C$3:$C$501=30)*('INV500 '!$O$3:$O$501&lt;&gt;"M")*1000)+SUMPRODUCT('INV500 '!$V$3:$V$501*('INV500 '!$C$3:$C$501=31)*('INV500 '!$O$3:$O$501&lt;&gt;"M")*1000)</f>
        <v>100000000</v>
      </c>
      <c r="D15" s="88">
        <f t="shared" si="0"/>
        <v>9.236527139687695E-3</v>
      </c>
      <c r="E15" s="181">
        <f>(SUMPRODUCT('INV500 '!$M$3:$M$501*('INV500 '!$C$3:$C$501=30)*('INV500 '!$O$3:$O$501&lt;&gt;"M"))+SUMPRODUCT('INV500 '!$M$3:$M$501*('INV500 '!$C$3:$C$501=31)*('INV500 '!$O$3:$O$501&lt;&gt;"M")))/$C$15</f>
        <v>780.9</v>
      </c>
      <c r="F15" s="113">
        <f>(SUMPRODUCT('INV500 '!$N$3:$N$501*('INV500 '!$C$3:$C$501=30)*('INV500 '!$O$3:$O$501&lt;&gt;"M"))+SUMPRODUCT('INV500 '!$N$3:$N$501*('INV500 '!$C$3:$C$501=31)*('INV500 '!$O$3:$O$501&lt;&gt;"M")))/$C$15</f>
        <v>1.1185E-2</v>
      </c>
      <c r="G15" s="86">
        <f t="shared" si="1"/>
        <v>1118500</v>
      </c>
      <c r="S15" s="90">
        <f t="shared" si="2"/>
        <v>7.2128040433821203</v>
      </c>
      <c r="T15" s="90">
        <f t="shared" si="3"/>
        <v>1.0331055605740686E-4</v>
      </c>
    </row>
    <row r="16" spans="1:20">
      <c r="A16" s="85" t="s">
        <v>80</v>
      </c>
      <c r="B16" s="71"/>
      <c r="C16" s="183">
        <f>SUMPRODUCT('INV500 '!$V$3:$V$501*('INV500 '!$C$3:$C$501=$B73)*('INV500 '!$O$3:$O$501&lt;&gt;"M")*1000)</f>
        <v>505000</v>
      </c>
      <c r="D16" s="88">
        <f t="shared" si="0"/>
        <v>4.6644462055422856E-5</v>
      </c>
      <c r="E16" s="181">
        <f>SUMPRODUCT('INV500 '!$M$3:$M$501*('INV500 '!$C$3:$C$501=76)*('INV500 '!$O$3:$O$501&lt;&gt;"M"))/$C$16</f>
        <v>1409.6633663366338</v>
      </c>
      <c r="F16" s="113">
        <f>SUMPRODUCT('INV500 '!$N$3:$N$501*('INV500 '!$C$3:$C$501=76)*('INV500 '!$O$3:$O$501&lt;&gt;"M"))/$C16</f>
        <v>1.8811881188118811E-2</v>
      </c>
      <c r="G16" s="86">
        <f t="shared" si="1"/>
        <v>9500</v>
      </c>
      <c r="S16" s="90">
        <f t="shared" si="2"/>
        <v>6.5752989402008757E-2</v>
      </c>
      <c r="T16" s="90">
        <f t="shared" si="3"/>
        <v>8.7747007827033094E-7</v>
      </c>
    </row>
    <row r="17" spans="1:20">
      <c r="A17" s="85" t="s">
        <v>105</v>
      </c>
      <c r="B17" s="71">
        <v>77</v>
      </c>
      <c r="C17" s="183">
        <f>SUMPRODUCT('INV500 '!$V$3:$V$501*('INV500 '!$C$3:$C$501=77)*('INV500 '!$O$3:$O$501&lt;&gt;"M")*1000)</f>
        <v>25500000</v>
      </c>
      <c r="D17" s="88">
        <f t="shared" si="0"/>
        <v>2.3553144206203622E-3</v>
      </c>
      <c r="E17" s="181">
        <f>SUMPRODUCT('INV500 '!$M$3:$M$501*('INV500 '!$C$3:$C$501=77)*('INV500 '!$O$3:$O$501&lt;&gt;"M"))/$C$17</f>
        <v>1046.1176470588234</v>
      </c>
      <c r="F17" s="113">
        <f>SUMPRODUCT('INV500 '!$N$3:$N$501*('INV500 '!$C$3:$C$501=77)*('INV500 '!$O$3:$O$501&lt;&gt;"M"))/$C17</f>
        <v>1.7521568627450981E-2</v>
      </c>
      <c r="G17" s="86">
        <f t="shared" si="1"/>
        <v>446800</v>
      </c>
      <c r="S17" s="90"/>
      <c r="T17" s="90"/>
    </row>
    <row r="18" spans="1:20">
      <c r="A18" s="85" t="s">
        <v>79</v>
      </c>
      <c r="B18" s="71"/>
      <c r="C18" s="183">
        <f>SUMPRODUCT('INV500 '!$V$3:$V$501*('INV500 '!$C$3:$C$501=$B75)*('INV500 '!$O$3:$O$501&lt;&gt;"M")*1000)</f>
        <v>40000000</v>
      </c>
      <c r="D18" s="88">
        <f t="shared" si="0"/>
        <v>3.6946108558750779E-3</v>
      </c>
      <c r="E18" s="181">
        <f>SUMPRODUCT('INV500 '!$M$3:$M$501*('INV500 '!$C$3:$C$501=95)*('INV500 '!$O$3:$O$501&lt;&gt;"M"))/$C$18</f>
        <v>640.25</v>
      </c>
      <c r="F18" s="113">
        <f>SUMPRODUCT('INV500 '!$N$3:$N$501*('INV500 '!$C$3:$C$501=95)*('INV500 '!$O$3:$O$501&lt;&gt;"M"))/$C18</f>
        <v>2.0112499999999998E-2</v>
      </c>
      <c r="G18" s="86">
        <f>C18*F18</f>
        <v>804499.99999999988</v>
      </c>
      <c r="S18" s="90">
        <f>C18*E18/$C$21</f>
        <v>2.3654746004740184</v>
      </c>
      <c r="T18" s="90">
        <f>C18*F18/$C$21</f>
        <v>7.4307860838787493E-5</v>
      </c>
    </row>
    <row r="19" spans="1:20">
      <c r="A19" s="85" t="s">
        <v>73</v>
      </c>
      <c r="B19" s="71"/>
      <c r="C19" s="183">
        <f>SUMPRODUCT('INV500 '!$V$3:$V$501*('INV500 '!$C$3:$C$501=$B76)*('INV500 '!$F$3:$F$501="REGULAR - IPTIP               ")*('INV500 '!$O$3:$O$501&lt;&gt;"M")*1000)</f>
        <v>543000000</v>
      </c>
      <c r="D19" s="88">
        <f t="shared" si="0"/>
        <v>5.0154342368504183E-2</v>
      </c>
      <c r="E19" s="181">
        <v>1</v>
      </c>
      <c r="F19" s="113">
        <v>7.6E-3</v>
      </c>
      <c r="G19" s="86">
        <f>C19*F19</f>
        <v>4126800</v>
      </c>
      <c r="S19" s="90">
        <f>C19*E19/$C$21</f>
        <v>5.0154342368504183E-2</v>
      </c>
      <c r="T19" s="90">
        <f>C19*F19/$C$21</f>
        <v>3.8117300200063176E-4</v>
      </c>
    </row>
    <row r="20" spans="1:20" s="71" customFormat="1">
      <c r="A20" s="85" t="s">
        <v>78</v>
      </c>
      <c r="C20" s="183">
        <f>SUMPRODUCT('INV500 '!$V$3:$V$501*('INV500 '!$E$3:$E$501=51)*('INV500 '!$O$3:$O$501&lt;&gt;"M")*('INV500 '!$C$3:$C$501=50)*1000)+SUMPRODUCT('INV500 '!$V$3:$V$501*('INV500 '!$E$3:$E$501=78)*('INV500 '!$O$3:$O$501&lt;&gt;"M")*('INV500 '!$C$3:$C$501=50)*1000)+SUMPRODUCT('INV500 '!$V$3:$V$501*('INV500 '!$E$3:$E$501=80)*('INV500 '!$O$3:$O$501&lt;&gt;"M")*('INV500 '!$C$3:$C$501=50)*1000)</f>
        <v>500000000</v>
      </c>
      <c r="D20" s="88">
        <f t="shared" si="0"/>
        <v>4.6182635698438473E-2</v>
      </c>
      <c r="E20" s="181">
        <v>1</v>
      </c>
      <c r="F20" s="113">
        <v>6.1988E-3</v>
      </c>
      <c r="G20" s="86">
        <f>C20*F20</f>
        <v>3099400</v>
      </c>
      <c r="K20" s="98"/>
      <c r="S20" s="99">
        <f>C20*E20/$C$21</f>
        <v>4.6182635698438473E-2</v>
      </c>
      <c r="T20" s="99">
        <f>C20*F20/$C$21</f>
        <v>2.8627692216748042E-4</v>
      </c>
    </row>
    <row r="21" spans="1:20" ht="15.75" thickBot="1">
      <c r="A21" s="100" t="s">
        <v>97</v>
      </c>
      <c r="B21" s="101"/>
      <c r="C21" s="102">
        <f>SUM(C11:C20)</f>
        <v>10826580000</v>
      </c>
      <c r="D21" s="103">
        <f>SUM(D11:D20)</f>
        <v>0.99999999999999989</v>
      </c>
      <c r="E21" s="104">
        <f>SUM(S11:S20)</f>
        <v>229.06815457882357</v>
      </c>
      <c r="F21" s="105">
        <f>SUM(T11:T20)</f>
        <v>8.8253998030772413E-3</v>
      </c>
      <c r="G21" s="106">
        <f>SUM(G11:G20)</f>
        <v>95995697</v>
      </c>
      <c r="H21" s="107"/>
    </row>
    <row r="22" spans="1:20" ht="15.75" thickBot="1">
      <c r="A22" s="108" t="s">
        <v>104</v>
      </c>
      <c r="B22" s="109"/>
      <c r="C22" s="110"/>
      <c r="D22" s="111"/>
      <c r="E22" s="112"/>
      <c r="F22" s="113"/>
      <c r="G22" s="114"/>
    </row>
    <row r="23" spans="1:20">
      <c r="A23" s="115" t="s">
        <v>103</v>
      </c>
      <c r="B23" s="116"/>
      <c r="C23" s="117" t="s">
        <v>95</v>
      </c>
      <c r="D23" s="118" t="s">
        <v>102</v>
      </c>
      <c r="E23" s="119" t="s">
        <v>101</v>
      </c>
      <c r="F23" s="119" t="s">
        <v>100</v>
      </c>
      <c r="G23" s="120" t="s">
        <v>99</v>
      </c>
      <c r="H23" s="119" t="s">
        <v>98</v>
      </c>
      <c r="I23" s="121" t="s">
        <v>97</v>
      </c>
    </row>
    <row r="24" spans="1:20" hidden="1" outlineLevel="1">
      <c r="A24" s="122"/>
      <c r="B24" s="123"/>
      <c r="C24" s="124">
        <f>IF(WEEKDAY(WebPosting!$K$1,1)=6,WebPosting!$K$1+3,WebPosting!$K$1+1)+N2</f>
        <v>42828</v>
      </c>
      <c r="D24" s="124">
        <f>C24</f>
        <v>42828</v>
      </c>
      <c r="E24" s="124">
        <f>D25</f>
        <v>43194</v>
      </c>
      <c r="F24" s="124">
        <f t="shared" ref="F24:H24" si="4">E25</f>
        <v>43560</v>
      </c>
      <c r="G24" s="124">
        <f t="shared" si="4"/>
        <v>43927</v>
      </c>
      <c r="H24" s="124">
        <f t="shared" si="4"/>
        <v>44293</v>
      </c>
      <c r="I24" s="125"/>
    </row>
    <row r="25" spans="1:20" hidden="1" outlineLevel="1">
      <c r="A25" s="122"/>
      <c r="B25" s="123"/>
      <c r="C25" s="124"/>
      <c r="D25" s="124">
        <f>EOMONTH(D24,11)-(TEXT(,"DD"))+(TEXT(D$24,"DD")+1)</f>
        <v>43194</v>
      </c>
      <c r="E25" s="124">
        <f t="shared" ref="E25:G25" si="5">EOMONTH(E24,11)-(TEXT(,"DD"))+(TEXT(E$24,"DD")+1)</f>
        <v>43560</v>
      </c>
      <c r="F25" s="124">
        <f t="shared" si="5"/>
        <v>43927</v>
      </c>
      <c r="G25" s="124">
        <f t="shared" si="5"/>
        <v>44293</v>
      </c>
      <c r="H25" s="124">
        <f>EOMONTH(H24,11)-(TEXT(,"DD"))+(TEXT(H$24,"DD")+1)+300</f>
        <v>44959</v>
      </c>
      <c r="I25" s="125"/>
    </row>
    <row r="26" spans="1:20" hidden="1" outlineLevel="1">
      <c r="A26" s="122"/>
      <c r="B26" s="123"/>
      <c r="C26" s="126"/>
      <c r="D26" s="127">
        <f>D25-D24</f>
        <v>366</v>
      </c>
      <c r="E26" s="127">
        <f t="shared" ref="E26:H26" si="6">E25-E24</f>
        <v>366</v>
      </c>
      <c r="F26" s="127">
        <f t="shared" si="6"/>
        <v>367</v>
      </c>
      <c r="G26" s="127">
        <f t="shared" si="6"/>
        <v>366</v>
      </c>
      <c r="H26" s="127">
        <f t="shared" si="6"/>
        <v>666</v>
      </c>
      <c r="I26" s="125"/>
    </row>
    <row r="27" spans="1:20" collapsed="1">
      <c r="A27" s="85" t="s">
        <v>72</v>
      </c>
      <c r="B27" s="128">
        <v>10</v>
      </c>
      <c r="C27" s="110">
        <f>SUMPRODUCT('INV500 '!$V$3:$V$501*('INV500 '!$T$3:$T$501&lt;='Investment Position'!C$24)*(('INV500 '!$T$3:$T$501&gt;'Investment Position'!B$66)*('INV500 '!$C$3:$C$501=10)*('INV500 '!$F$3:$F$501="REGULAR  17412700             ")*('INV500 '!$O$3:$O$501&lt;&gt;"M")*1000))</f>
        <v>1490225000</v>
      </c>
      <c r="D27" s="110">
        <f>SUMPRODUCT('INV500 '!$V$3:$V$501*('INV500 '!$T$3:$T$501&lt;='Investment Position'!D$25)*(('INV500 '!$T$3:$T$501&gt;'Investment Position'!D$24)*('INV500 '!$C$3:$C$501=10)*('INV500 '!$F$3:$F$501="REGULAR  17412700             ")*('INV500 '!$O$3:$O$501&lt;&gt;"M")*1000))</f>
        <v>0</v>
      </c>
      <c r="E27" s="110">
        <f>SUMPRODUCT('INV500 '!$V$3:$V$501*('INV500 '!$T$3:$T$501&lt;='Investment Position'!E$25)*(('INV500 '!$T$3:$T$501&gt;'Investment Position'!E$24)*('INV500 '!$C$3:$C$501=10)*('INV500 '!$F$3:$F$501="REGULAR  17412700             ")*('INV500 '!$O$3:$O$501&lt;&gt;"M")*1000))</f>
        <v>0</v>
      </c>
      <c r="F27" s="110">
        <f>SUMPRODUCT('INV500 '!$V$3:$V$501*('INV500 '!$T$3:$T$501&lt;='Investment Position'!F$25)*(('INV500 '!$T$3:$T$501&gt;'Investment Position'!F$24)*('INV500 '!$C$3:$C$501=10)*('INV500 '!$F$3:$F$501="REGULAR  17412700             ")*('INV500 '!$O$3:$O$501&lt;&gt;"M")*1000))</f>
        <v>0</v>
      </c>
      <c r="G27" s="110">
        <f>SUMPRODUCT('INV500 '!$V$3:$V$501*('INV500 '!$T$3:$T$501&lt;='Investment Position'!G$25)*(('INV500 '!$T$3:$T$501&gt;'Investment Position'!G$24)*('INV500 '!$C$3:$C$501=10)*('INV500 '!$F$3:$F$501="REGULAR  17412700             ")*('INV500 '!$O$3:$O$501&lt;&gt;"M")*1000))</f>
        <v>0</v>
      </c>
      <c r="H27" s="185">
        <f>SUMPRODUCT('INV500 '!$V$3:$V$501*('INV500 '!$T$3:$T$501&lt;='Investment Position'!H$25)*(('INV500 '!$T$3:$T$501&gt;'Investment Position'!H$24)*('INV500 '!$C$3:$C$501=10)*('INV500 '!$F$3:$F$501="REGULAR  17412700             ")*('INV500 '!$O$3:$O$501&lt;&gt;"M")*1000))</f>
        <v>0</v>
      </c>
      <c r="I27" s="186">
        <f>SUM(C27:H27)</f>
        <v>1490225000</v>
      </c>
      <c r="J27" s="64" t="b">
        <f>I27=C11</f>
        <v>1</v>
      </c>
    </row>
    <row r="28" spans="1:20">
      <c r="A28" s="85" t="s">
        <v>34</v>
      </c>
      <c r="B28" s="128">
        <v>60</v>
      </c>
      <c r="C28" s="183">
        <f>SUMPRODUCT('INV500 '!$V$3:$V$501*('INV500 '!$T$3:$T$501&lt;='Investment Position'!C$24)*('INV500 '!$C$3:$C$501=$B28)*('INV500 '!$O$3:$O$501&lt;&gt;"M")*1000)</f>
        <v>376300000</v>
      </c>
      <c r="D28" s="183">
        <f>SUMPRODUCT('INV500 '!$V$3:$V$501*('INV500 '!$T$3:$T$501&lt;='Investment Position'!D$25)*('INV500 '!$T$3:$T$501&gt;'Investment Position'!D$24)*('INV500 '!$C$3:$C$501=$B28)*('INV500 '!$O$3:$O$501&lt;&gt;"M")*1000)</f>
        <v>2590000000</v>
      </c>
      <c r="E28" s="183">
        <f>SUMPRODUCT('INV500 '!$V$3:$V$501*('INV500 '!$T$3:$T$501&lt;='Investment Position'!E$25)*('INV500 '!$T$3:$T$501&gt;'Investment Position'!E$24)*('INV500 '!$C$3:$C$501=$B28)*('INV500 '!$O$3:$O$501&lt;&gt;"M")*1000)</f>
        <v>0</v>
      </c>
      <c r="F28" s="183">
        <f>SUMPRODUCT('INV500 '!$V$3:$V$501*('INV500 '!$T$3:$T$501&lt;='Investment Position'!F$25)*('INV500 '!$T$3:$T$501&gt;'Investment Position'!F$24)*('INV500 '!$C$3:$C$501=$B28)*('INV500 '!$O$3:$O$501&lt;&gt;"M")*1000)</f>
        <v>0</v>
      </c>
      <c r="G28" s="183">
        <f>SUMPRODUCT('INV500 '!$V$3:$V$501*('INV500 '!$T$3:$T$501&lt;='Investment Position'!G$25)*('INV500 '!$T$3:$T$501&gt;'Investment Position'!G$24)*('INV500 '!$C$3:$C$501=$B28)*('INV500 '!$O$3:$O$501&lt;&gt;"M")*1000)</f>
        <v>0</v>
      </c>
      <c r="H28" s="187">
        <f>SUMPRODUCT('INV500 '!$V$3:$V$501*('INV500 '!$T$3:$T$501&lt;='Investment Position'!H$25)*('INV500 '!$T$3:$T$501&gt;'Investment Position'!H$24)*('INV500 '!$C$3:$C$501=$B28)*('INV500 '!$O$3:$O$501&lt;&gt;"M")*1000)</f>
        <v>0</v>
      </c>
      <c r="I28" s="188">
        <f>SUM(C28:H28)</f>
        <v>2966300000</v>
      </c>
      <c r="J28" s="64" t="b">
        <f t="shared" ref="J28:J32" si="7">I28=C12</f>
        <v>1</v>
      </c>
    </row>
    <row r="29" spans="1:20">
      <c r="A29" s="85" t="s">
        <v>82</v>
      </c>
      <c r="B29" s="128" t="s">
        <v>119</v>
      </c>
      <c r="C29" s="183">
        <f>SUMPRODUCT('INV500 '!$V$3:$V$501*('INV500 '!$T$3:$T$501&lt;='Investment Position'!C$24)*('INV500 '!$C$3:$C$501=62)*('INV500 '!$O$3:$O$501&lt;&gt;"M")*('INV500 '!$H$3:$H$501&lt;&gt;"WELLS FARGO TH GEN 17412701   ")*1000)+SUMPRODUCT('INV500 '!$V$3:$V$501*('INV500 '!$T$3:$T$501&lt;='Investment Position'!C$24)*('INV500 '!$C$3:$C$501=70)*('INV500 '!$O$3:$O$501&lt;&gt;"M")*1000)</f>
        <v>0</v>
      </c>
      <c r="D29" s="183">
        <f>SUMPRODUCT('INV500 '!$V$3:$V$501*('INV500 '!$T$3:$T$501&lt;='Investment Position'!D$25)*('INV500 '!$T$3:$T$501&gt;'Investment Position'!D$24)*('INV500 '!$C$3:$C$501=62)*('INV500 '!$H$3:$H$501&lt;&gt;"WELLS FARGO TH GEN 17412701   ")*1000)+SUMPRODUCT('INV500 '!$V$3:$V$501*('INV500 '!$T$3:$T$501&lt;='Investment Position'!D$25)*('INV500 '!$T$3:$T$501&gt;'Investment Position'!D$24)*('INV500 '!$C$3:$C$501=70)*1000)</f>
        <v>2450000000</v>
      </c>
      <c r="E29" s="183">
        <f>SUMPRODUCT('INV500 '!$V$3:$V$501*('INV500 '!$T$3:$T$501&lt;='Investment Position'!E$25)*('INV500 '!$T$3:$T$501&gt;'Investment Position'!E$24)*('INV500 '!$C$3:$C$501=62)*('INV500 '!$H$3:$H$501&lt;&gt;"WELLS FARGO TH GEN 17412701   ")*1000)+SUMPRODUCT('INV500 '!$V$3:$V$501*('INV500 '!$T$3:$T$501&lt;='Investment Position'!E$25)*('INV500 '!$T$3:$T$501&gt;'Investment Position'!E$24)*('INV500 '!$C$3:$C$501=70)*1000)</f>
        <v>50000000</v>
      </c>
      <c r="F29" s="183">
        <f>SUMPRODUCT('INV500 '!$V$3:$V$501*('INV500 '!$T$3:$T$501&lt;='Investment Position'!F$25)*('INV500 '!$T$3:$T$501&gt;'Investment Position'!F$24)*('INV500 '!$C$3:$C$501=62)*('INV500 '!$H$3:$H$501&lt;&gt;"WELLS FARGO TH GEN 17412701   ")*1000)+SUMPRODUCT('INV500 '!$V$3:$V$501*('INV500 '!$T$3:$T$501&lt;='Investment Position'!F$25)*('INV500 '!$T$3:$T$501&gt;'Investment Position'!F$24)*('INV500 '!$C$3:$C$501=70)*1000)</f>
        <v>0</v>
      </c>
      <c r="G29" s="183">
        <f>SUMPRODUCT('INV500 '!$V$3:$V$501*('INV500 '!$T$3:$T$501&lt;='Investment Position'!G$25)*('INV500 '!$T$3:$T$501&gt;'Investment Position'!G$24)*('INV500 '!$C$3:$C$501=62)*('INV500 '!$H$3:$H$501&lt;&gt;"WELLS FARGO TH GEN 17412701   ")*1000)+SUMPRODUCT('INV500 '!$V$3:$V$501*('INV500 '!$T$3:$T$501&lt;='Investment Position'!G$25)*('INV500 '!$T$3:$T$501&gt;'Investment Position'!G$24)*('INV500 '!$C$3:$C$501=70)*1000)</f>
        <v>0</v>
      </c>
      <c r="H29" s="187">
        <f>SUMPRODUCT('INV500 '!$V$3:$V$501*('INV500 '!$T$3:$T$501&lt;='Investment Position'!H$25)*('INV500 '!$T$3:$T$501&gt;'Investment Position'!H$24)*('INV500 '!$C$3:$C$501=62)*('INV500 '!$H$3:$H$501&lt;&gt;"WELLS FARGO TH GEN 17412701   ")*1000)+SUMPRODUCT('INV500 '!$V$3:$V$501*('INV500 '!$T$3:$T$501&lt;='Investment Position'!H$25)*('INV500 '!$T$3:$T$501&gt;'Investment Position'!H$24)*('INV500 '!$C$3:$C$501=70)*1000)</f>
        <v>0</v>
      </c>
      <c r="I29" s="188">
        <f>SUM(C29:H29)</f>
        <v>2500000000</v>
      </c>
      <c r="J29" s="64" t="b">
        <f t="shared" si="7"/>
        <v>1</v>
      </c>
    </row>
    <row r="30" spans="1:20">
      <c r="A30" s="85" t="s">
        <v>81</v>
      </c>
      <c r="B30" s="128" t="s">
        <v>127</v>
      </c>
      <c r="C30" s="183">
        <f>SUMPRODUCT('INV500 '!$V$3:$V$501*('INV500 '!$T$3:$T$501&lt;='Investment Position'!C$24)*('INV500 '!$C$3:$C$501=89)*('INV500 '!$O$3:$O$501&lt;&gt;"M")*('INV500 '!$H$3:$H$501&lt;&gt;"WELLS FARGO TH GEN 17412701   ")*1000)+SUMPRODUCT('INV500 '!$V$3:$V$501*('INV500 '!$T$3:$T$501&lt;='Investment Position'!C$24)*('INV500 '!$C$3:$C$501=87)*('INV500 '!$O$3:$O$501&lt;&gt;"M")*('INV500 '!$H$3:$H$501&lt;&gt;"WELLS FARGO TH GEN 17412701   ")*1000)+SUMPRODUCT('INV500 '!$V$3:$V$501*('INV500 '!$T$3:$T$501&lt;='Investment Position'!C$24)*('INV500 '!$C$3:$C$501=69)*('INV500 '!$O$3:$O$501&lt;&gt;"M")*('INV500 '!$H$3:$H$501&lt;&gt;"WELLS FARGO TH GEN 17412701   ")*1000)+SUMPRODUCT('INV500 '!$V$3:$V$501*('INV500 '!$T$3:$T$501&lt;='Investment Position'!C$24)*('INV500 '!$C$3:$C$501=66)*('INV500 '!$O$3:$O$501&lt;&gt;"M")*('INV500 '!$H$3:$H$501&lt;&gt;"WELLS FARGO TH GEN 17412701   ")*1000)+SUMPRODUCT('INV500 '!$V$3:$V$501*('INV500 '!$T$3:$T$501&lt;='Investment Position'!C$24)*('INV500 '!$C$3:$C$501=84)*('INV500 '!$O$3:$O$501&lt;&gt;"M")*('INV500 '!$H$3:$H$501&lt;&gt;"WELLS FARGO TH GEN 17412701   ")*1000)+SUMPRODUCT('INV500 '!$V$3:$V$501*('INV500 '!$T$3:$T$501&lt;='Investment Position'!C$24)*('INV500 '!$C$3:$C$501=85)*('INV500 '!$O$3:$O$501&lt;&gt;"M")*('INV500 '!$H$3:$H$501&lt;&gt;"WELLS FARGO TH GEN 17412701   ")*1000)+SUMPRODUCT('INV500 '!$V$3:$V$501*('INV500 '!$T$3:$T$501&lt;='Investment Position'!C$24)*('INV500 '!$C$3:$C$501=86)*('INV500 '!$O$3:$O$501&lt;&gt;"M")*('INV500 '!$H$3:$H$501&lt;&gt;"WELLS FARGO TH GEN 17412701   ")*1000)+SUMPRODUCT('INV500 '!$V$3:$V$501*('INV500 '!$T$3:$T$501&lt;='Investment Position'!C$24)*('INV500 '!$C$3:$C$501=67)*('INV500 '!$O$3:$O$501&lt;&gt;"M")*('INV500 '!$H$3:$H$501&lt;&gt;"WELLS FARGO TH GEN 17412701   ")*1000)++SUMPRODUCT('INV500 '!$V$3:$V$501*('INV500 '!$T$3:$T$501&lt;='Investment Position'!C$24)*('INV500 '!$C$3:$C$501=91)*('INV500 '!$O$3:$O$501&lt;&gt;"M")*('INV500 '!$H$3:$H$501&lt;&gt;"WELLS FARGO TH GEN 17412701   ")*1000)++SUMPRODUCT('INV500 '!$V$3:$V$501*('INV500 '!$T$3:$T$501&lt;='Investment Position'!C$24)*('INV500 '!$C$3:$C$501=92)*('INV500 '!$O$3:$O$501&lt;&gt;"M")*('INV500 '!$H$3:$H$501&lt;&gt;"WELLS FARGO TH GEN 17412701   ")*1000)</f>
        <v>0</v>
      </c>
      <c r="D30" s="183">
        <f>SUMPRODUCT('INV500 '!$V$3:$V$501*('INV500 '!$T$3:$T$501&lt;='Investment Position'!D$25)*('INV500 '!$T$3:$T$501&gt;'Investment Position'!D$24)*('INV500 '!$C$3:$C$501=89)*('INV500 '!$O$3:$O$501&lt;&gt;"M")*('INV500 '!$H$3:$H$501&lt;&gt;"WELLS FARGO TH GEN 17412701   ")*1000)+SUMPRODUCT('INV500 '!$V$3:$V$501*('INV500 '!$T$3:$T$501&lt;='Investment Position'!D$25)*('INV500 '!$T$3:$T$501&gt;'Investment Position'!D$24)*('INV500 '!$C$3:$C$501=87)*('INV500 '!$O$3:$O$501&lt;&gt;"M")*('INV500 '!$H$3:$H$501&lt;&gt;"WELLS FARGO TH GEN 17412701   ")*1000)+SUMPRODUCT('INV500 '!$V$3:$V$501*('INV500 '!$T$3:$T$501&lt;='Investment Position'!D$25)*('INV500 '!$T$3:$T$501&gt;'Investment Position'!D$24)*('INV500 '!$C$3:$C$501=69)*('INV500 '!$O$3:$O$501&lt;&gt;"M")*('INV500 '!$H$3:$H$501&lt;&gt;"WELLS FARGO TH GEN 17412701   ")*1000)+SUMPRODUCT('INV500 '!$V$3:$V$501*('INV500 '!$T$3:$T$501&lt;='Investment Position'!D$25)*('INV500 '!$T$3:$T$501&gt;'Investment Position'!D$24)*('INV500 '!$C$3:$C$501=66)*('INV500 '!$O$3:$O$501&lt;&gt;"M")*('INV500 '!$H$3:$H$501&lt;&gt;"WELLS FARGO TH GEN 17412701   ")*1000)+SUMPRODUCT('INV500 '!$V$3:$V$501*('INV500 '!$T$3:$T$501&lt;='Investment Position'!D$25)*('INV500 '!$T$3:$T$501&gt;'Investment Position'!D$24)*('INV500 '!$C$3:$C$501=84)*('INV500 '!$O$3:$O$501&lt;&gt;"M")*('INV500 '!$H$3:$H$501&lt;&gt;"WELLS FARGO TH GEN 17412701   ")*1000)+SUMPRODUCT('INV500 '!$V$3:$V$501*('INV500 '!$T$3:$T$501&lt;='Investment Position'!D$25)*('INV500 '!$T$3:$T$501&gt;'Investment Position'!D$24)*('INV500 '!$C$3:$C$501=85)*('INV500 '!$O$3:$O$501&lt;&gt;"M")*('INV500 '!$H$3:$H$501&lt;&gt;"WELLS FARGO TH GEN 17412701   ")*1000)+SUMPRODUCT('INV500 '!$V$3:$V$501*('INV500 '!$T$3:$T$501&lt;='Investment Position'!D$25)*('INV500 '!$T$3:$T$501&gt;'Investment Position'!D$24)*('INV500 '!$C$3:$C$501=86)*('INV500 '!$O$3:$O$501&lt;&gt;"M")*('INV500 '!$H$3:$H$501&lt;&gt;"WELLS FARGO TH GEN 17412701   ")*1000)+SUMPRODUCT('INV500 '!$V$3:$V$501*('INV500 '!$T$3:$T$501&lt;='Investment Position'!D$25)*('INV500 '!$T$3:$T$501&gt;'Investment Position'!D$24)*('INV500 '!$C$3:$C$501=67)*('INV500 '!$O$3:$O$501&lt;&gt;"M")*('INV500 '!$H$3:$H$501&lt;&gt;"WELLS FARGO TH GEN 17412701   ")*1000)++SUMPRODUCT('INV500 '!$V$3:$V$501*('INV500 '!$T$3:$T$501&lt;='Investment Position'!D$25)*('INV500 '!$T$3:$T$501&gt;'Investment Position'!D$24)*('INV500 '!$C$3:$C$501=91)*('INV500 '!$O$3:$O$501&lt;&gt;"M")*('INV500 '!$H$3:$H$501&lt;&gt;"WELLS FARGO TH GEN 17412701   ")*1000)++SUMPRODUCT('INV500 '!$V$3:$V$501*('INV500 '!$T$3:$T$501&lt;='Investment Position'!D$25)*('INV500 '!$T$3:$T$501&gt;'Investment Position'!D$24)*('INV500 '!$C$3:$C$501=92)*('INV500 '!$O$3:$O$501&lt;&gt;"M")*('INV500 '!$H$3:$H$501&lt;&gt;"WELLS FARGO TH GEN 17412701   ")*1000)</f>
        <v>946002000</v>
      </c>
      <c r="E30" s="183">
        <f>SUMPRODUCT('INV500 '!$V$3:$V$501*('INV500 '!$T$3:$T$501&lt;='Investment Position'!E$25)*('INV500 '!$T$3:$T$501&gt;'Investment Position'!E$24)*('INV500 '!$C$3:$C$501=89)*('INV500 '!$O$3:$O$501&lt;&gt;"M")*('INV500 '!$H$3:$H$501&lt;&gt;"WELLS FARGO TH GEN 17412701   ")*1000)+SUMPRODUCT('INV500 '!$V$3:$V$501*('INV500 '!$T$3:$T$501&lt;='Investment Position'!E$25)*('INV500 '!$T$3:$T$501&gt;'Investment Position'!E$24)*('INV500 '!$C$3:$C$501=87)*('INV500 '!$O$3:$O$501&lt;&gt;"M")*('INV500 '!$H$3:$H$501&lt;&gt;"WELLS FARGO TH GEN 17412701   ")*1000)+SUMPRODUCT('INV500 '!$V$3:$V$501*('INV500 '!$T$3:$T$501&lt;='Investment Position'!E$25)*('INV500 '!$T$3:$T$501&gt;'Investment Position'!E$24)*('INV500 '!$C$3:$C$501=69)*('INV500 '!$O$3:$O$501&lt;&gt;"M")*('INV500 '!$H$3:$H$501&lt;&gt;"WELLS FARGO TH GEN 17412701   ")*1000)+SUMPRODUCT('INV500 '!$V$3:$V$501*('INV500 '!$T$3:$T$501&lt;='Investment Position'!E$25)*('INV500 '!$T$3:$T$501&gt;'Investment Position'!E$24)*('INV500 '!$C$3:$C$501=66)*('INV500 '!$O$3:$O$501&lt;&gt;"M")*('INV500 '!$H$3:$H$501&lt;&gt;"WELLS FARGO TH GEN 17412701   ")*1000)+SUMPRODUCT('INV500 '!$V$3:$V$501*('INV500 '!$T$3:$T$501&lt;='Investment Position'!E$25)*('INV500 '!$T$3:$T$501&gt;'Investment Position'!E$24)*('INV500 '!$C$3:$C$501=84)*('INV500 '!$O$3:$O$501&lt;&gt;"M")*('INV500 '!$H$3:$H$501&lt;&gt;"WELLS FARGO TH GEN 17412701   ")*1000)+SUMPRODUCT('INV500 '!$V$3:$V$501*('INV500 '!$T$3:$T$501&lt;='Investment Position'!E$25)*('INV500 '!$T$3:$T$501&gt;'Investment Position'!E$24)*('INV500 '!$C$3:$C$501=85)*('INV500 '!$O$3:$O$501&lt;&gt;"M")*('INV500 '!$H$3:$H$501&lt;&gt;"WELLS FARGO TH GEN 17412701   ")*1000)+SUMPRODUCT('INV500 '!$V$3:$V$501*('INV500 '!$T$3:$T$501&lt;='Investment Position'!E$25)*('INV500 '!$T$3:$T$501&gt;'Investment Position'!E$24)*('INV500 '!$C$3:$C$501=86)*('INV500 '!$O$3:$O$501&lt;&gt;"M")*('INV500 '!$H$3:$H$501&lt;&gt;"WELLS FARGO TH GEN 17412701   ")*1000)+SUMPRODUCT('INV500 '!$V$3:$V$501*('INV500 '!$T$3:$T$501&lt;='Investment Position'!E$25)*('INV500 '!$T$3:$T$501&gt;'Investment Position'!E$24)*('INV500 '!$C$3:$C$501=67)*('INV500 '!$O$3:$O$501&lt;&gt;"M")*('INV500 '!$H$3:$H$501&lt;&gt;"WELLS FARGO TH GEN 17412701   ")*1000)++SUMPRODUCT('INV500 '!$V$3:$V$501*('INV500 '!$T$3:$T$501&lt;='Investment Position'!E$25)*('INV500 '!$T$3:$T$501&gt;'Investment Position'!E$24)*('INV500 '!$C$3:$C$501=91)*('INV500 '!$O$3:$O$501&lt;&gt;"M")*('INV500 '!$H$3:$H$501&lt;&gt;"WELLS FARGO TH GEN 17412701   ")*1000)++SUMPRODUCT('INV500 '!$V$3:$V$501*('INV500 '!$T$3:$T$501&lt;='Investment Position'!E$25)*('INV500 '!$T$3:$T$501&gt;'Investment Position'!E$24)*('INV500 '!$C$3:$C$501=92)*('INV500 '!$O$3:$O$501&lt;&gt;"M")*('INV500 '!$H$3:$H$501&lt;&gt;"WELLS FARGO TH GEN 17412701   ")*1000)</f>
        <v>790001000</v>
      </c>
      <c r="F30" s="183">
        <f>SUMPRODUCT('INV500 '!$V$3:$V$501*('INV500 '!$T$3:$T$501&lt;='Investment Position'!F$25)*('INV500 '!$T$3:$T$501&gt;'Investment Position'!F$24)*('INV500 '!$C$3:$C$501=89)*('INV500 '!$O$3:$O$501&lt;&gt;"M")*('INV500 '!$H$3:$H$501&lt;&gt;"WELLS FARGO TH GEN 17412701   ")*1000)+SUMPRODUCT('INV500 '!$V$3:$V$501*('INV500 '!$T$3:$T$501&lt;='Investment Position'!F$25)*('INV500 '!$T$3:$T$501&gt;'Investment Position'!F$24)*('INV500 '!$C$3:$C$501=87)*('INV500 '!$O$3:$O$501&lt;&gt;"M")*('INV500 '!$H$3:$H$501&lt;&gt;"WELLS FARGO TH GEN 17412701   ")*1000)+SUMPRODUCT('INV500 '!$V$3:$V$501*('INV500 '!$T$3:$T$501&lt;='Investment Position'!F$25)*('INV500 '!$T$3:$T$501&gt;'Investment Position'!F$24)*('INV500 '!$C$3:$C$501=69)*('INV500 '!$O$3:$O$501&lt;&gt;"M")*('INV500 '!$H$3:$H$501&lt;&gt;"WELLS FARGO TH GEN 17412701   ")*1000)+SUMPRODUCT('INV500 '!$V$3:$V$501*('INV500 '!$T$3:$T$501&lt;='Investment Position'!F$25)*('INV500 '!$T$3:$T$501&gt;'Investment Position'!F$24)*('INV500 '!$C$3:$C$501=66)*('INV500 '!$O$3:$O$501&lt;&gt;"M")*('INV500 '!$H$3:$H$501&lt;&gt;"WELLS FARGO TH GEN 17412701   ")*1000)+SUMPRODUCT('INV500 '!$V$3:$V$501*('INV500 '!$T$3:$T$501&lt;='Investment Position'!F$25)*('INV500 '!$T$3:$T$501&gt;'Investment Position'!F$24)*('INV500 '!$C$3:$C$501=84)*('INV500 '!$O$3:$O$501&lt;&gt;"M")*('INV500 '!$H$3:$H$501&lt;&gt;"WELLS FARGO TH GEN 17412701   ")*1000)+SUMPRODUCT('INV500 '!$V$3:$V$501*('INV500 '!$T$3:$T$501&lt;='Investment Position'!F$25)*('INV500 '!$T$3:$T$501&gt;'Investment Position'!F$24)*('INV500 '!$C$3:$C$501=85)*('INV500 '!$O$3:$O$501&lt;&gt;"M")*('INV500 '!$H$3:$H$501&lt;&gt;"WELLS FARGO TH GEN 17412701   ")*1000)+SUMPRODUCT('INV500 '!$V$3:$V$501*('INV500 '!$T$3:$T$501&lt;='Investment Position'!F$25)*('INV500 '!$T$3:$T$501&gt;'Investment Position'!F$24)*('INV500 '!$C$3:$C$501=86)*('INV500 '!$O$3:$O$501&lt;&gt;"M")*('INV500 '!$H$3:$H$501&lt;&gt;"WELLS FARGO TH GEN 17412701   ")*1000)+SUMPRODUCT('INV500 '!$V$3:$V$501*('INV500 '!$T$3:$T$501&lt;='Investment Position'!F$25)*('INV500 '!$T$3:$T$501&gt;'Investment Position'!F$24)*('INV500 '!$C$3:$C$501=67)*('INV500 '!$O$3:$O$501&lt;&gt;"M")*('INV500 '!$H$3:$H$501&lt;&gt;"WELLS FARGO TH GEN 17412701   ")*1000)++SUMPRODUCT('INV500 '!$V$3:$V$501*('INV500 '!$T$3:$T$501&lt;='Investment Position'!F$25)*('INV500 '!$T$3:$T$501&gt;'Investment Position'!F$24)*('INV500 '!$C$3:$C$501=91)*('INV500 '!$O$3:$O$501&lt;&gt;"M")*('INV500 '!$H$3:$H$501&lt;&gt;"WELLS FARGO TH GEN 17412701   ")*1000)++SUMPRODUCT('INV500 '!$V$3:$V$501*('INV500 '!$T$3:$T$501&lt;='Investment Position'!F$25)*('INV500 '!$T$3:$T$501&gt;'Investment Position'!F$24)*('INV500 '!$C$3:$C$501=92)*('INV500 '!$O$3:$O$501&lt;&gt;"M")*('INV500 '!$H$3:$H$501&lt;&gt;"WELLS FARGO TH GEN 17412701   ")*1000)</f>
        <v>540007000</v>
      </c>
      <c r="G30" s="183">
        <f>SUMPRODUCT('INV500 '!$V$3:$V$501*('INV500 '!$T$3:$T$501&lt;='Investment Position'!G$25)*('INV500 '!$T$3:$T$501&gt;'Investment Position'!G$24)*('INV500 '!$C$3:$C$501=89)*('INV500 '!$O$3:$O$501&lt;&gt;"M")*('INV500 '!$H$3:$H$501&lt;&gt;"WELLS FARGO TH GEN 17412701   ")*1000)+SUMPRODUCT('INV500 '!$V$3:$V$501*('INV500 '!$T$3:$T$501&lt;='Investment Position'!G$25)*('INV500 '!$T$3:$T$501&gt;'Investment Position'!G$24)*('INV500 '!$C$3:$C$501=87)*('INV500 '!$O$3:$O$501&lt;&gt;"M")*('INV500 '!$H$3:$H$501&lt;&gt;"WELLS FARGO TH GEN 17412701   ")*1000)+SUMPRODUCT('INV500 '!$V$3:$V$501*('INV500 '!$T$3:$T$501&lt;='Investment Position'!G$25)*('INV500 '!$T$3:$T$501&gt;'Investment Position'!G$24)*('INV500 '!$C$3:$C$501=69)*('INV500 '!$O$3:$O$501&lt;&gt;"M")*('INV500 '!$H$3:$H$501&lt;&gt;"WELLS FARGO TH GEN 17412701   ")*1000)+SUMPRODUCT('INV500 '!$V$3:$V$501*('INV500 '!$T$3:$T$501&lt;='Investment Position'!G$25)*('INV500 '!$T$3:$T$501&gt;'Investment Position'!G$24)*('INV500 '!$C$3:$C$501=66)*('INV500 '!$O$3:$O$501&lt;&gt;"M")*('INV500 '!$H$3:$H$501&lt;&gt;"WELLS FARGO TH GEN 17412701   ")*1000)+SUMPRODUCT('INV500 '!$V$3:$V$501*('INV500 '!$T$3:$T$501&lt;='Investment Position'!G$25)*('INV500 '!$T$3:$T$501&gt;'Investment Position'!G$24)*('INV500 '!$C$3:$C$501=84)*('INV500 '!$O$3:$O$501&lt;&gt;"M")*('INV500 '!$H$3:$H$501&lt;&gt;"WELLS FARGO TH GEN 17412701   ")*1000)+SUMPRODUCT('INV500 '!$V$3:$V$501*('INV500 '!$T$3:$T$501&lt;='Investment Position'!G$25)*('INV500 '!$T$3:$T$501&gt;'Investment Position'!G$24)*('INV500 '!$C$3:$C$501=85)*('INV500 '!$O$3:$O$501&lt;&gt;"M")*('INV500 '!$H$3:$H$501&lt;&gt;"WELLS FARGO TH GEN 17412701   ")*1000)+SUMPRODUCT('INV500 '!$V$3:$V$501*('INV500 '!$T$3:$T$501&lt;='Investment Position'!G$25)*('INV500 '!$T$3:$T$501&gt;'Investment Position'!G$24)*('INV500 '!$C$3:$C$501=86)*('INV500 '!$O$3:$O$501&lt;&gt;"M")*('INV500 '!$H$3:$H$501&lt;&gt;"WELLS FARGO TH GEN 17412701   ")*1000)+SUMPRODUCT('INV500 '!$V$3:$V$501*('INV500 '!$T$3:$T$501&lt;='Investment Position'!G$25)*('INV500 '!$T$3:$T$501&gt;'Investment Position'!G$24)*('INV500 '!$C$3:$C$501=67)*('INV500 '!$O$3:$O$501&lt;&gt;"M")*('INV500 '!$H$3:$H$501&lt;&gt;"WELLS FARGO TH GEN 17412701   ")*1000)++SUMPRODUCT('INV500 '!$V$3:$V$501*('INV500 '!$T$3:$T$501&lt;='Investment Position'!G$25)*('INV500 '!$T$3:$T$501&gt;'Investment Position'!G$24)*('INV500 '!$C$3:$C$501=91)*('INV500 '!$O$3:$O$501&lt;&gt;"M")*('INV500 '!$H$3:$H$501&lt;&gt;"WELLS FARGO TH GEN 17412701   ")*1000)++SUMPRODUCT('INV500 '!$V$3:$V$501*('INV500 '!$T$3:$T$501&lt;='Investment Position'!G$25)*('INV500 '!$T$3:$T$501&gt;'Investment Position'!G$24)*('INV500 '!$C$3:$C$501=92)*('INV500 '!$O$3:$O$501&lt;&gt;"M")*('INV500 '!$H$3:$H$501&lt;&gt;"WELLS FARGO TH GEN 17412701   ")*1000)</f>
        <v>75005000</v>
      </c>
      <c r="H30" s="183">
        <f>SUMPRODUCT('INV500 '!$V$3:$V$501*('INV500 '!$T$3:$T$501&lt;='Investment Position'!H$25)*('INV500 '!$T$3:$T$501&gt;'Investment Position'!H$24)*('INV500 '!$C$3:$C$501=89)*('INV500 '!$O$3:$O$501&lt;&gt;"M")*('INV500 '!$H$3:$H$501&lt;&gt;"WELLS FARGO TH GEN 17412701   ")*1000)+SUMPRODUCT('INV500 '!$V$3:$V$501*('INV500 '!$T$3:$T$501&lt;='Investment Position'!H$25)*('INV500 '!$T$3:$T$501&gt;'Investment Position'!H$24)*('INV500 '!$C$3:$C$501=87)*('INV500 '!$O$3:$O$501&lt;&gt;"M")*('INV500 '!$H$3:$H$501&lt;&gt;"WELLS FARGO TH GEN 17412701   ")*1000)+SUMPRODUCT('INV500 '!$V$3:$V$501*('INV500 '!$T$3:$T$501&lt;='Investment Position'!H$25)*('INV500 '!$T$3:$T$501&gt;'Investment Position'!H$24)*('INV500 '!$C$3:$C$501=69)*('INV500 '!$O$3:$O$501&lt;&gt;"M")*('INV500 '!$H$3:$H$501&lt;&gt;"WELLS FARGO TH GEN 17412701   ")*1000)+SUMPRODUCT('INV500 '!$V$3:$V$501*('INV500 '!$T$3:$T$501&lt;='Investment Position'!H$25)*('INV500 '!$T$3:$T$501&gt;'Investment Position'!H$24)*('INV500 '!$C$3:$C$501=66)*('INV500 '!$O$3:$O$501&lt;&gt;"M")*('INV500 '!$H$3:$H$501&lt;&gt;"WELLS FARGO TH GEN 17412701   ")*1000)+SUMPRODUCT('INV500 '!$V$3:$V$501*('INV500 '!$T$3:$T$501&lt;='Investment Position'!H$25)*('INV500 '!$T$3:$T$501&gt;'Investment Position'!H$24)*('INV500 '!$C$3:$C$501=84)*('INV500 '!$O$3:$O$501&lt;&gt;"M")*('INV500 '!$H$3:$H$501&lt;&gt;"WELLS FARGO TH GEN 17412701   ")*1000)+SUMPRODUCT('INV500 '!$V$3:$V$501*('INV500 '!$T$3:$T$501&lt;='Investment Position'!H$25)*('INV500 '!$T$3:$T$501&gt;'Investment Position'!H$24)*('INV500 '!$C$3:$C$501=85)*('INV500 '!$O$3:$O$501&lt;&gt;"M")*('INV500 '!$H$3:$H$501&lt;&gt;"WELLS FARGO TH GEN 17412701   ")*1000)+SUMPRODUCT('INV500 '!$V$3:$V$501*('INV500 '!$T$3:$T$501&lt;='Investment Position'!H$25)*('INV500 '!$T$3:$T$501&gt;'Investment Position'!H$24)*('INV500 '!$C$3:$C$501=86)*('INV500 '!$O$3:$O$501&lt;&gt;"M")*('INV500 '!$H$3:$H$501&lt;&gt;"WELLS FARGO TH GEN 17412701   ")*1000)+SUMPRODUCT('INV500 '!$V$3:$V$501*('INV500 '!$T$3:$T$501&lt;='Investment Position'!H$25)*('INV500 '!$T$3:$T$501&gt;'Investment Position'!H$24)*('INV500 '!$C$3:$C$501=67)*('INV500 '!$O$3:$O$501&lt;&gt;"M")*('INV500 '!$H$3:$H$501&lt;&gt;"WELLS FARGO TH GEN 17412701   ")*1000)++SUMPRODUCT('INV500 '!$V$3:$V$501*('INV500 '!$T$3:$T$501&lt;='Investment Position'!H$25)*('INV500 '!$T$3:$T$501&gt;'Investment Position'!H$24)*('INV500 '!$C$3:$C$501=91)*('INV500 '!$O$3:$O$501&lt;&gt;"M")*('INV500 '!$H$3:$H$501&lt;&gt;"WELLS FARGO TH GEN 17412701   ")*1000)++SUMPRODUCT('INV500 '!$V$3:$V$501*('INV500 '!$T$3:$T$501&lt;='Investment Position'!H$25)*('INV500 '!$T$3:$T$501&gt;'Investment Position'!H$24)*('INV500 '!$C$3:$C$501=92)*('INV500 '!$O$3:$O$501&lt;&gt;"M")*('INV500 '!$H$3:$H$501&lt;&gt;"WELLS FARGO TH GEN 17412701   ")*1000)</f>
        <v>310035000</v>
      </c>
      <c r="I30" s="188">
        <f t="shared" ref="I30:I38" si="8">SUM(C30:H30)</f>
        <v>2661050000</v>
      </c>
      <c r="J30" s="64" t="b">
        <f t="shared" si="7"/>
        <v>1</v>
      </c>
    </row>
    <row r="31" spans="1:20">
      <c r="A31" s="85" t="s">
        <v>68</v>
      </c>
      <c r="B31" s="128" t="s">
        <v>120</v>
      </c>
      <c r="C31" s="183">
        <f>SUMPRODUCT('INV500 '!$V$3:$V$501*('INV500 '!$T$3:$T$501&lt;='Investment Position'!C$24)*('INV500 '!$C$3:$C$501=30)*('INV500 '!$O$3:$O$501&lt;&gt;"M")*1000)+SUMPRODUCT('INV500 '!$V$3:$V$501*('INV500 '!$T$3:$T$501&lt;='Investment Position'!C$24)*('INV500 '!$C$3:$C$501=31)*('INV500 '!$O$3:$O$501&lt;&gt;"M")*1000)</f>
        <v>0</v>
      </c>
      <c r="D31" s="183">
        <f>SUMPRODUCT('INV500 '!$V$3:$V$501*('INV500 '!$T$3:$T$501&lt;='Investment Position'!D$25)*('INV500 '!$T$3:$T$501&gt;'Investment Position'!D$24)*('INV500 '!$C$3:$C$501=30)*1000)+SUMPRODUCT('INV500 '!$V$3:$V$501*('INV500 '!$T$3:$T$501&lt;='Investment Position'!D$25)*('INV500 '!$T$3:$T$501&gt;'Investment Position'!D$24)*('INV500 '!$C$3:$C$501=31)*1000)</f>
        <v>20000000</v>
      </c>
      <c r="E31" s="183">
        <f>SUMPRODUCT('INV500 '!$V$3:$V$501*('INV500 '!$T$3:$T$501&lt;='Investment Position'!E$25)*('INV500 '!$T$3:$T$501&gt;'Investment Position'!E$24)*('INV500 '!$C$3:$C$501=30)*1000)+SUMPRODUCT('INV500 '!$V$3:$V$501*('INV500 '!$T$3:$T$501&lt;='Investment Position'!E$25)*('INV500 '!$T$3:$T$501&gt;'Investment Position'!E$24)*('INV500 '!$C$3:$C$501=31)*1000)</f>
        <v>30000000</v>
      </c>
      <c r="F31" s="183">
        <f>SUMPRODUCT('INV500 '!$V$3:$V$501*('INV500 '!$T$3:$T$501&lt;='Investment Position'!F$25)*('INV500 '!$T$3:$T$501&gt;'Investment Position'!F$24)*('INV500 '!$C$3:$C$501=30)*1000)+SUMPRODUCT('INV500 '!$V$3:$V$501*('INV500 '!$T$3:$T$501&lt;='Investment Position'!F$25)*('INV500 '!$T$3:$T$501&gt;'Investment Position'!F$24)*('INV500 '!$C$3:$C$501=31)*1000)</f>
        <v>20000000</v>
      </c>
      <c r="G31" s="183">
        <f>SUMPRODUCT('INV500 '!$V$3:$V$501*('INV500 '!$T$3:$T$501&lt;='Investment Position'!G$25)*('INV500 '!$T$3:$T$501&gt;'Investment Position'!G$24)*('INV500 '!$C$3:$C$501=30)*1000)+SUMPRODUCT('INV500 '!$V$3:$V$501*('INV500 '!$T$3:$T$501&lt;='Investment Position'!G$25)*('INV500 '!$T$3:$T$501&gt;'Investment Position'!G$24)*('INV500 '!$C$3:$C$501=31)*1000)</f>
        <v>20000000</v>
      </c>
      <c r="H31" s="187">
        <f>SUMPRODUCT('INV500 '!$V$3:$V$501*('INV500 '!$T$3:$T$501&lt;='Investment Position'!H$25)*('INV500 '!$T$3:$T$501&gt;'Investment Position'!H$24)*('INV500 '!$C$3:$C$501=30)*1000)+SUMPRODUCT('INV500 '!$V$3:$V$501*('INV500 '!$T$3:$T$501&lt;='Investment Position'!H$25)*('INV500 '!$T$3:$T$501&gt;'Investment Position'!H$24)*('INV500 '!$C$3:$C$501=31)*1000)</f>
        <v>10000000</v>
      </c>
      <c r="I31" s="188">
        <f t="shared" si="8"/>
        <v>100000000</v>
      </c>
      <c r="J31" s="64" t="b">
        <f t="shared" si="7"/>
        <v>1</v>
      </c>
    </row>
    <row r="32" spans="1:20">
      <c r="A32" s="85" t="s">
        <v>80</v>
      </c>
      <c r="B32" s="128">
        <v>76</v>
      </c>
      <c r="C32" s="183">
        <f>SUMPRODUCT('INV500 '!$V$3:$V$501*('INV500 '!$T$3:$T$501&lt;='Investment Position'!C$24)*('INV500 '!$C$3:$C$501=$B32)*('INV500 '!$O$3:$O$501&lt;&gt;"M")*1000)</f>
        <v>0</v>
      </c>
      <c r="D32" s="183">
        <f>SUMPRODUCT('INV500 '!$V$3:$V$501*('INV500 '!$T$3:$T$501&lt;='Investment Position'!D$25)*(('INV500 '!$T$3:$T$501&gt;'Investment Position'!D$24)*('INV500 '!$C$3:$C$501=$B32)*('INV500 '!$O$3:$O$501&lt;&gt;"M")*1000))</f>
        <v>0</v>
      </c>
      <c r="E32" s="183">
        <f>SUMPRODUCT('INV500 '!$V$3:$V$501*('INV500 '!$T$3:$T$501&lt;='Investment Position'!E$25)*(('INV500 '!$T$3:$T$501&gt;'Investment Position'!E$24)*('INV500 '!$C$3:$C$501=$B32)*('INV500 '!$O$3:$O$501&lt;&gt;"M")*1000))</f>
        <v>0</v>
      </c>
      <c r="F32" s="183">
        <f>SUMPRODUCT('INV500 '!$V$3:$V$501*('INV500 '!$T$3:$T$501&lt;='Investment Position'!F$25)*(('INV500 '!$T$3:$T$501&gt;'Investment Position'!F$24)*('INV500 '!$C$3:$C$501=$B32)*('INV500 '!$O$3:$O$501&lt;&gt;"M")*1000))</f>
        <v>0</v>
      </c>
      <c r="G32" s="183">
        <f>SUMPRODUCT('INV500 '!$V$3:$V$501*('INV500 '!$T$3:$T$501&lt;='Investment Position'!G$25)*(('INV500 '!$T$3:$T$501&gt;'Investment Position'!G$24)*('INV500 '!$C$3:$C$501=$B32)*('INV500 '!$O$3:$O$501&lt;&gt;"M")*1000))</f>
        <v>410000</v>
      </c>
      <c r="H32" s="189">
        <f>SUMPRODUCT('INV500 '!$V$3:$V$501*('INV500 '!$T$3:$T$501&lt;='Investment Position'!H$25)*(('INV500 '!$T$3:$T$501&gt;'Investment Position'!H$24)*('INV500 '!$C$3:$C$501=$B32)*('INV500 '!$O$3:$O$501&lt;&gt;"M")*1000))</f>
        <v>95000</v>
      </c>
      <c r="I32" s="188">
        <f t="shared" si="8"/>
        <v>505000</v>
      </c>
      <c r="J32" s="64" t="b">
        <f t="shared" si="7"/>
        <v>1</v>
      </c>
    </row>
    <row r="33" spans="1:10">
      <c r="A33" s="85" t="s">
        <v>130</v>
      </c>
      <c r="B33" s="128">
        <v>77</v>
      </c>
      <c r="C33" s="183">
        <f>SUMPRODUCT('INV500 '!$V$3:$V$501*('INV500 '!$T$3:$T$501&lt;='Investment Position'!C$24)*('INV500 '!$C$3:$C$501=$B33)*('INV500 '!$O$3:$O$501&lt;&gt;"M")*1000)</f>
        <v>0</v>
      </c>
      <c r="D33" s="183">
        <f>SUMPRODUCT('INV500 '!$V$3:$V$501*('INV500 '!$T$3:$T$501&lt;='Investment Position'!D$25)*(('INV500 '!$T$3:$T$501&gt;'Investment Position'!D$24)*('INV500 '!$C$3:$C$501=$B33)*('INV500 '!$O$3:$O$501&lt;&gt;"M")*1000))</f>
        <v>0</v>
      </c>
      <c r="E33" s="183">
        <f>SUMPRODUCT('INV500 '!$V$3:$V$501*('INV500 '!$T$3:$T$501&lt;='Investment Position'!E$25)*(('INV500 '!$T$3:$T$501&gt;'Investment Position'!E$24)*('INV500 '!$C$3:$C$501=$B33)*('INV500 '!$O$3:$O$501&lt;&gt;"M")*1000))</f>
        <v>12500000</v>
      </c>
      <c r="F33" s="183">
        <f>SUMPRODUCT('INV500 '!$V$3:$V$501*('INV500 '!$T$3:$T$501&lt;='Investment Position'!F$25)*(('INV500 '!$T$3:$T$501&gt;'Investment Position'!F$24)*('INV500 '!$C$3:$C$501=$B33)*('INV500 '!$O$3:$O$501&lt;&gt;"M")*1000))</f>
        <v>5500000</v>
      </c>
      <c r="G33" s="183">
        <f>SUMPRODUCT('INV500 '!$V$3:$V$501*('INV500 '!$T$3:$T$501&lt;='Investment Position'!G$25)*(('INV500 '!$T$3:$T$501&gt;'Investment Position'!G$24)*('INV500 '!$C$3:$C$501=$B33)*('INV500 '!$O$3:$O$501&lt;&gt;"M")*1000))</f>
        <v>0</v>
      </c>
      <c r="H33" s="189">
        <f>SUMPRODUCT('INV500 '!$V$3:$V$501*('INV500 '!$T$3:$T$501&lt;='Investment Position'!H$25)*(('INV500 '!$T$3:$T$501&gt;'Investment Position'!H$24)*('INV500 '!$C$3:$C$501=$B33)*('INV500 '!$O$3:$O$501&lt;&gt;"M")*1000))</f>
        <v>7500000</v>
      </c>
      <c r="I33" s="188">
        <f t="shared" ref="I33" si="9">SUM(C33:H33)</f>
        <v>25500000</v>
      </c>
      <c r="J33" s="64" t="b">
        <f>I33=C17</f>
        <v>1</v>
      </c>
    </row>
    <row r="34" spans="1:10">
      <c r="A34" s="85" t="s">
        <v>79</v>
      </c>
      <c r="B34" s="128">
        <v>95</v>
      </c>
      <c r="C34" s="183">
        <f>SUMPRODUCT('INV500 '!$V$3:$V$501*('INV500 '!$T$3:$T$501&lt;='Investment Position'!C$24)*('INV500 '!$C$3:$C$501=$B34)*('INV500 '!$O$3:$O$501&lt;&gt;"M")*1000)</f>
        <v>0</v>
      </c>
      <c r="D34" s="183">
        <f>SUMPRODUCT('INV500 '!$V$3:$V$501*('INV500 '!$T$3:$T$501&lt;='Investment Position'!D$25)*(('INV500 '!$T$3:$T$501&gt;'Investment Position'!D$24)*('INV500 '!$C$3:$C$501=$B34)*('INV500 '!$O$3:$O$501&lt;&gt;"M")*1000))</f>
        <v>10000000</v>
      </c>
      <c r="E34" s="183">
        <f>SUMPRODUCT('INV500 '!$V$3:$V$501*('INV500 '!$T$3:$T$501&lt;='Investment Position'!E$25)*(('INV500 '!$T$3:$T$501&gt;'Investment Position'!E$24)*('INV500 '!$C$3:$C$501=$B34)*('INV500 '!$O$3:$O$501&lt;&gt;"M")*1000))</f>
        <v>20000000</v>
      </c>
      <c r="F34" s="190">
        <f>SUMPRODUCT('INV500 '!$V$3:$V$501*('INV500 '!$T$3:$T$501&lt;='Investment Position'!F$25)*(('INV500 '!$T$3:$T$501&gt;'Investment Position'!F$24)*('INV500 '!$C$3:$C$501=$B34)*('INV500 '!$O$3:$O$501&lt;&gt;"M")*1000))</f>
        <v>10000000</v>
      </c>
      <c r="G34" s="183">
        <f>SUMPRODUCT('INV500 '!$V$3:$V$501*('INV500 '!$T$3:$T$501&lt;='Investment Position'!G$25)*(('INV500 '!$T$3:$T$501&gt;'Investment Position'!G$24)*('INV500 '!$C$3:$C$501=$B34)*('INV500 '!$O$3:$O$501&lt;&gt;"M")*1000))</f>
        <v>0</v>
      </c>
      <c r="H34" s="189">
        <f>SUMPRODUCT('INV500 '!$V$3:$V$501*('INV500 '!$T$3:$T$501&lt;='Investment Position'!H$25)*(('INV500 '!$T$3:$T$501&gt;'Investment Position'!H$24)*('INV500 '!$C$3:$C$501=$B34)*('INV500 '!$O$3:$O$501&lt;&gt;"M")*1000))</f>
        <v>0</v>
      </c>
      <c r="I34" s="188">
        <f t="shared" si="8"/>
        <v>40000000</v>
      </c>
      <c r="J34" s="64" t="b">
        <f>I34=C18</f>
        <v>1</v>
      </c>
    </row>
    <row r="35" spans="1:10">
      <c r="A35" s="85" t="s">
        <v>73</v>
      </c>
      <c r="B35" s="128">
        <v>40</v>
      </c>
      <c r="C35" s="183">
        <f>SUMPRODUCT('INV500 '!$V$3:$V$501*('INV500 '!$C$3:$C$501=$B35)*('INV500 '!$F$3:$F$501="REGULAR - IPTIP               ")*('INV500 '!$O$3:$O$501&lt;&gt;"M")*1000)</f>
        <v>543000000</v>
      </c>
      <c r="D35" s="183">
        <v>0</v>
      </c>
      <c r="E35" s="183">
        <v>0</v>
      </c>
      <c r="F35" s="190">
        <v>0</v>
      </c>
      <c r="G35" s="183">
        <v>0</v>
      </c>
      <c r="H35" s="189">
        <v>0</v>
      </c>
      <c r="I35" s="188">
        <f t="shared" si="8"/>
        <v>543000000</v>
      </c>
      <c r="J35" s="64" t="b">
        <f>I35=C19</f>
        <v>1</v>
      </c>
    </row>
    <row r="36" spans="1:10">
      <c r="A36" s="129" t="s">
        <v>78</v>
      </c>
      <c r="B36" s="130" t="s">
        <v>121</v>
      </c>
      <c r="C36" s="191">
        <f>SUMPRODUCT('INV500 '!$V$3:$V$501*('INV500 '!$E$3:$E$501=51)*('INV500 '!$O$3:$O$501&lt;&gt;"M")*('INV500 '!$C$3:$C$501=50)*1000)+SUMPRODUCT('INV500 '!$V$3:$V$501*('INV500 '!$E$3:$E$501=78)*('INV500 '!$O$3:$O$501&lt;&gt;"M")*('INV500 '!$C$3:$C$501=50)*1000)+SUMPRODUCT('INV500 '!$V$3:$V$501*('INV500 '!$E$3:$E$501=80)*('INV500 '!$O$3:$O$501&lt;&gt;"M")*('INV500 '!$C$3:$C$501=50)*1000)</f>
        <v>500000000</v>
      </c>
      <c r="D36" s="191">
        <v>0</v>
      </c>
      <c r="E36" s="191">
        <v>0</v>
      </c>
      <c r="F36" s="191">
        <v>0</v>
      </c>
      <c r="G36" s="191">
        <v>0</v>
      </c>
      <c r="H36" s="192">
        <v>0</v>
      </c>
      <c r="I36" s="193">
        <f t="shared" si="8"/>
        <v>500000000</v>
      </c>
      <c r="J36" s="64" t="b">
        <f>I36=C20</f>
        <v>1</v>
      </c>
    </row>
    <row r="37" spans="1:10">
      <c r="A37" s="131" t="s">
        <v>44</v>
      </c>
      <c r="B37" s="132"/>
      <c r="C37" s="133">
        <f t="shared" ref="C37:H37" si="10">SUM(C27:C36)</f>
        <v>2909525000</v>
      </c>
      <c r="D37" s="133">
        <f t="shared" si="10"/>
        <v>6016002000</v>
      </c>
      <c r="E37" s="133">
        <f t="shared" si="10"/>
        <v>902501000</v>
      </c>
      <c r="F37" s="133">
        <f t="shared" si="10"/>
        <v>575507000</v>
      </c>
      <c r="G37" s="133">
        <f t="shared" si="10"/>
        <v>95415000</v>
      </c>
      <c r="H37" s="134">
        <f t="shared" si="10"/>
        <v>327630000</v>
      </c>
      <c r="I37" s="135">
        <f t="shared" si="8"/>
        <v>10826580000</v>
      </c>
    </row>
    <row r="38" spans="1:10" ht="15.75" thickBot="1">
      <c r="A38" s="136" t="s">
        <v>77</v>
      </c>
      <c r="B38" s="137"/>
      <c r="C38" s="138">
        <f t="shared" ref="C38:H38" si="11">C37/$C$3</f>
        <v>0.26873906626099842</v>
      </c>
      <c r="D38" s="138">
        <f t="shared" si="11"/>
        <v>0.55566965745415453</v>
      </c>
      <c r="E38" s="138">
        <f t="shared" si="11"/>
        <v>8.3359749800952843E-2</v>
      </c>
      <c r="F38" s="138">
        <f t="shared" si="11"/>
        <v>5.3156860245802462E-2</v>
      </c>
      <c r="G38" s="138">
        <f t="shared" si="11"/>
        <v>8.8130323703330144E-3</v>
      </c>
      <c r="H38" s="139">
        <f t="shared" si="11"/>
        <v>3.0261633867758795E-2</v>
      </c>
      <c r="I38" s="140">
        <f t="shared" si="8"/>
        <v>1</v>
      </c>
    </row>
    <row r="39" spans="1:10">
      <c r="A39" s="72"/>
      <c r="B39" s="72"/>
      <c r="C39" s="72"/>
      <c r="D39" s="72"/>
    </row>
    <row r="63" spans="1:16" ht="15.75" thickBot="1">
      <c r="A63" s="141" t="s">
        <v>227</v>
      </c>
    </row>
    <row r="64" spans="1:16" s="144" customFormat="1">
      <c r="A64" s="142" t="s">
        <v>96</v>
      </c>
      <c r="B64" s="116"/>
      <c r="C64" s="117" t="s">
        <v>95</v>
      </c>
      <c r="D64" s="119" t="s">
        <v>94</v>
      </c>
      <c r="E64" s="119" t="s">
        <v>93</v>
      </c>
      <c r="F64" s="119" t="s">
        <v>92</v>
      </c>
      <c r="G64" s="119" t="s">
        <v>91</v>
      </c>
      <c r="H64" s="119" t="s">
        <v>90</v>
      </c>
      <c r="I64" s="119" t="s">
        <v>89</v>
      </c>
      <c r="J64" s="119" t="s">
        <v>88</v>
      </c>
      <c r="K64" s="119" t="s">
        <v>87</v>
      </c>
      <c r="L64" s="119" t="s">
        <v>86</v>
      </c>
      <c r="M64" s="119" t="s">
        <v>85</v>
      </c>
      <c r="N64" s="119" t="s">
        <v>83</v>
      </c>
      <c r="O64" s="119" t="s">
        <v>84</v>
      </c>
      <c r="P64" s="143" t="s">
        <v>44</v>
      </c>
    </row>
    <row r="65" spans="1:17" s="150" customFormat="1" hidden="1" outlineLevel="1">
      <c r="A65" s="145"/>
      <c r="B65" s="146"/>
      <c r="C65" s="147"/>
      <c r="D65" s="148">
        <v>30</v>
      </c>
      <c r="E65" s="148">
        <v>60</v>
      </c>
      <c r="F65" s="148">
        <v>90</v>
      </c>
      <c r="G65" s="148">
        <v>120</v>
      </c>
      <c r="H65" s="148">
        <v>150</v>
      </c>
      <c r="I65" s="148">
        <v>180</v>
      </c>
      <c r="J65" s="148">
        <v>210</v>
      </c>
      <c r="K65" s="148">
        <v>240</v>
      </c>
      <c r="L65" s="148">
        <v>270</v>
      </c>
      <c r="M65" s="148">
        <v>300</v>
      </c>
      <c r="N65" s="148">
        <v>330</v>
      </c>
      <c r="O65" s="148">
        <v>366</v>
      </c>
      <c r="P65" s="149"/>
    </row>
    <row r="66" spans="1:17" s="150" customFormat="1" hidden="1" outlineLevel="1">
      <c r="A66" s="145"/>
      <c r="B66" s="146"/>
      <c r="C66" s="124">
        <f>C24</f>
        <v>42828</v>
      </c>
      <c r="D66" s="151">
        <f>$C$66+D65</f>
        <v>42858</v>
      </c>
      <c r="E66" s="151">
        <f t="shared" ref="E66:O66" si="12">$C$66+E65</f>
        <v>42888</v>
      </c>
      <c r="F66" s="151">
        <f t="shared" si="12"/>
        <v>42918</v>
      </c>
      <c r="G66" s="151">
        <f t="shared" si="12"/>
        <v>42948</v>
      </c>
      <c r="H66" s="151">
        <f t="shared" si="12"/>
        <v>42978</v>
      </c>
      <c r="I66" s="151">
        <f t="shared" si="12"/>
        <v>43008</v>
      </c>
      <c r="J66" s="151">
        <f t="shared" si="12"/>
        <v>43038</v>
      </c>
      <c r="K66" s="151">
        <f t="shared" si="12"/>
        <v>43068</v>
      </c>
      <c r="L66" s="151">
        <f t="shared" si="12"/>
        <v>43098</v>
      </c>
      <c r="M66" s="151">
        <f t="shared" si="12"/>
        <v>43128</v>
      </c>
      <c r="N66" s="151">
        <f t="shared" si="12"/>
        <v>43158</v>
      </c>
      <c r="O66" s="151">
        <f t="shared" si="12"/>
        <v>43194</v>
      </c>
      <c r="P66" s="149"/>
    </row>
    <row r="67" spans="1:17" s="150" customFormat="1" hidden="1" outlineLevel="1">
      <c r="A67" s="145"/>
      <c r="B67" s="146"/>
      <c r="C67" s="124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49"/>
    </row>
    <row r="68" spans="1:17" collapsed="1">
      <c r="A68" s="153" t="s">
        <v>72</v>
      </c>
      <c r="B68" s="128">
        <v>10</v>
      </c>
      <c r="C68" s="110">
        <f>SUMPRODUCT('INV500 '!$V$3:$V$501*('INV500 '!$T$3:$T$501&lt;='Investment Position'!C$66)*('INV500 '!$C$3:$C$501=10)*('INV500 '!$F$3:$F$501="REGULAR  17412700             ")*('INV500 '!$O$3:$O$501&lt;&gt;"M")*1000)</f>
        <v>1490225000</v>
      </c>
      <c r="D68" s="110">
        <f>SUMPRODUCT('INV500 '!$V$3:$V$501*('INV500 '!$T$3:$T$501&lt;='Investment Position'!D$66)*(('INV500 '!$T$3:$T$501&gt;'Investment Position'!C$66)*('INV500 '!$C$3:$C$501=10)*('INV500 '!$F$3:$F$501="REGULAR  17412700             ")*('INV500 '!$O$3:$O$501&lt;&gt;"M")*1000))</f>
        <v>0</v>
      </c>
      <c r="E68" s="110">
        <f>SUMPRODUCT('INV500 '!$V$3:$V$501*('INV500 '!$T$3:$T$501&lt;='Investment Position'!E$66)*(('INV500 '!$T$3:$T$501&gt;'Investment Position'!D$66)*('INV500 '!$C$3:$C$501=10)*('INV500 '!$F$3:$F$501="REGULAR  17412700             ")*('INV500 '!$O$3:$O$501&lt;&gt;"M")*1000))</f>
        <v>0</v>
      </c>
      <c r="F68" s="110">
        <f>SUMPRODUCT('INV500 '!$V$3:$V$501*('INV500 '!$T$3:$T$501&lt;='Investment Position'!F$66)*(('INV500 '!$T$3:$T$501&gt;'Investment Position'!E$66)*('INV500 '!$C$3:$C$501=10)*('INV500 '!$F$3:$F$501="REGULAR  17412700             ")*('INV500 '!$O$3:$O$501&lt;&gt;"M")*1000))</f>
        <v>0</v>
      </c>
      <c r="G68" s="110">
        <f>SUMPRODUCT('INV500 '!$V$3:$V$501*('INV500 '!$T$3:$T$501&lt;='Investment Position'!G$66)*(('INV500 '!$T$3:$T$501&gt;'Investment Position'!F$66)*('INV500 '!$C$3:$C$501=10)*('INV500 '!$F$3:$F$501="REGULAR  17412700             ")*('INV500 '!$O$3:$O$501&lt;&gt;"M")*1000))</f>
        <v>0</v>
      </c>
      <c r="H68" s="110">
        <f>SUMPRODUCT('INV500 '!$V$3:$V$501*('INV500 '!$T$3:$T$501&lt;='Investment Position'!H$66)*(('INV500 '!$T$3:$T$501&gt;'Investment Position'!G$66)*('INV500 '!$C$3:$C$501=10)*('INV500 '!$F$3:$F$501="REGULAR  17412700             ")*('INV500 '!$O$3:$O$501&lt;&gt;"M")*1000))</f>
        <v>0</v>
      </c>
      <c r="I68" s="110">
        <f>SUMPRODUCT('INV500 '!$V$3:$V$501*('INV500 '!$T$3:$T$501&lt;='Investment Position'!I$66)*(('INV500 '!$T$3:$T$501&gt;'Investment Position'!H$66)*('INV500 '!$C$3:$C$501=10)*('INV500 '!$F$3:$F$501="REGULAR  17412700             ")*('INV500 '!$O$3:$O$501&lt;&gt;"M")*1000))</f>
        <v>0</v>
      </c>
      <c r="J68" s="110">
        <f>SUMPRODUCT('INV500 '!$V$3:$V$501*('INV500 '!$T$3:$T$501&lt;='Investment Position'!J$66)*(('INV500 '!$T$3:$T$501&gt;'Investment Position'!I$66)*('INV500 '!$C$3:$C$501=10)*('INV500 '!$F$3:$F$501="REGULAR  17412700             ")*('INV500 '!$O$3:$O$501&lt;&gt;"M")*1000))</f>
        <v>0</v>
      </c>
      <c r="K68" s="110">
        <f>SUMPRODUCT('INV500 '!$V$3:$V$501*('INV500 '!$T$3:$T$501&lt;='Investment Position'!K$66)*(('INV500 '!$T$3:$T$501&gt;'Investment Position'!J$66)*('INV500 '!$C$3:$C$501=10)*('INV500 '!$F$3:$F$501="REGULAR  17412700             ")*('INV500 '!$O$3:$O$501&lt;&gt;"M")*1000))</f>
        <v>0</v>
      </c>
      <c r="L68" s="110">
        <f>SUMPRODUCT('INV500 '!$V$3:$V$501*('INV500 '!$T$3:$T$501&lt;='Investment Position'!L$66)*(('INV500 '!$T$3:$T$501&gt;'Investment Position'!K$66)*('INV500 '!$C$3:$C$501=10)*('INV500 '!$F$3:$F$501="REGULAR  17412700             ")*('INV500 '!$O$3:$O$501&lt;&gt;"M")*1000))</f>
        <v>0</v>
      </c>
      <c r="M68" s="110">
        <f>SUMPRODUCT('INV500 '!$V$3:$V$501*('INV500 '!$T$3:$T$501&lt;='Investment Position'!M$66)*(('INV500 '!$T$3:$T$501&gt;'Investment Position'!L$66)*('INV500 '!$C$3:$C$501=10)*('INV500 '!$F$3:$F$501="REGULAR  17412700             ")*('INV500 '!$O$3:$O$501&lt;&gt;"M")*1000))</f>
        <v>0</v>
      </c>
      <c r="N68" s="110">
        <f>SUMPRODUCT('INV500 '!$V$3:$V$501*('INV500 '!$T$3:$T$501&lt;='Investment Position'!N$66)*(('INV500 '!$T$3:$T$501&gt;'Investment Position'!M$66)*('INV500 '!$C$3:$C$501=10)*('INV500 '!$F$3:$F$501="REGULAR  17412700             ")*('INV500 '!$O$3:$O$501&lt;&gt;"M")*1000))</f>
        <v>0</v>
      </c>
      <c r="O68" s="110">
        <f>SUMPRODUCT('INV500 '!$V$3:$V$501*('INV500 '!$T$3:$T$501&lt;='Investment Position'!O$66)*(('INV500 '!$T$3:$T$501&gt;'Investment Position'!N$66)*('INV500 '!$C$3:$C$501=10)*('INV500 '!$F$3:$F$501="REGULAR  17412700             ")*('INV500 '!$O$3:$O$501&lt;&gt;"M")*1000))</f>
        <v>0</v>
      </c>
      <c r="P68" s="154">
        <f t="shared" ref="P68:P77" si="13">SUM(C68:O68)</f>
        <v>1490225000</v>
      </c>
      <c r="Q68" s="64" t="b">
        <f t="shared" ref="Q68:Q77" si="14">$P68=SUM(C27:D27)</f>
        <v>1</v>
      </c>
    </row>
    <row r="69" spans="1:17">
      <c r="A69" s="153" t="s">
        <v>34</v>
      </c>
      <c r="B69" s="128">
        <v>60</v>
      </c>
      <c r="C69" s="183">
        <f>SUMPRODUCT('INV500 '!$V$3:$V$501*('INV500 '!$T$3:$T$501&lt;='Investment Position'!C$66)*('INV500 '!$C$3:$C$501=60)*('INV500 '!$O$3:$O$501&lt;&gt;"M")*1000)</f>
        <v>376300000</v>
      </c>
      <c r="D69" s="183">
        <f>SUMPRODUCT('INV500 '!$V$3:$V$501*('INV500 '!$T$3:$T$501&lt;='Investment Position'!D$66)*(('INV500 '!$T$3:$T$501&gt;'Investment Position'!C$66)*('INV500 '!$C$3:$C$501=$B69)*('INV500 '!$O$3:$O$501&lt;&gt;"M")*1000))</f>
        <v>680000000</v>
      </c>
      <c r="E69" s="183">
        <f>SUMPRODUCT('INV500 '!$V$3:$V$501*('INV500 '!$T$3:$T$501&lt;='Investment Position'!E$66)*(('INV500 '!$T$3:$T$501&gt;'Investment Position'!D$66)*('INV500 '!$C$3:$C$501=$B69)*('INV500 '!$O$3:$O$501&lt;&gt;"M")*1000))</f>
        <v>460000000</v>
      </c>
      <c r="F69" s="183">
        <f>SUMPRODUCT('INV500 '!$V$3:$V$501*('INV500 '!$T$3:$T$501&lt;='Investment Position'!F$66)*(('INV500 '!$T$3:$T$501&gt;'Investment Position'!E$66)*('INV500 '!$C$3:$C$501=$B69)*('INV500 '!$O$3:$O$501&lt;&gt;"M")*1000))</f>
        <v>135000000</v>
      </c>
      <c r="G69" s="183">
        <f>SUMPRODUCT('INV500 '!$V$3:$V$501*('INV500 '!$T$3:$T$501&lt;='Investment Position'!G$66)*(('INV500 '!$T$3:$T$501&gt;'Investment Position'!F$66)*('INV500 '!$C$3:$C$501=$B69)*('INV500 '!$O$3:$O$501&lt;&gt;"M")*1000))</f>
        <v>945000000</v>
      </c>
      <c r="H69" s="187">
        <f>SUMPRODUCT('INV500 '!$V$3:$V$501*('INV500 '!$T$3:$T$501&lt;='Investment Position'!H$66)*(('INV500 '!$T$3:$T$501&gt;'Investment Position'!G$66)*('INV500 '!$C$3:$C$501=$B69)*('INV500 '!$O$3:$O$501&lt;&gt;"M")*1000))</f>
        <v>100000000</v>
      </c>
      <c r="I69" s="187">
        <f>SUMPRODUCT('INV500 '!$V$3:$V$501*('INV500 '!$T$3:$T$501&lt;='Investment Position'!I$66)*(('INV500 '!$T$3:$T$501&gt;'Investment Position'!H$66)*('INV500 '!$C$3:$C$501=$B69)*('INV500 '!$O$3:$O$501&lt;&gt;"M")*1000))</f>
        <v>270000000</v>
      </c>
      <c r="J69" s="183">
        <f>SUMPRODUCT('INV500 '!$V$3:$V$501*('INV500 '!$T$3:$T$501&lt;='Investment Position'!J$66)*(('INV500 '!$T$3:$T$501&gt;'Investment Position'!I$66)*('INV500 '!$C$3:$C$501=$B69)*('INV500 '!$O$3:$O$501&lt;&gt;"M")*1000))</f>
        <v>0</v>
      </c>
      <c r="K69" s="183">
        <f>SUMPRODUCT('INV500 '!$V$3:$V$501*('INV500 '!$T$3:$T$501&lt;='Investment Position'!K$66)*(('INV500 '!$T$3:$T$501&gt;'Investment Position'!J$66)*('INV500 '!$C$3:$C$501=$B69)*('INV500 '!$O$3:$O$501&lt;&gt;"M")*1000))</f>
        <v>0</v>
      </c>
      <c r="L69" s="183">
        <f>SUMPRODUCT('INV500 '!$V$3:$V$501*('INV500 '!$T$3:$T$501&lt;='Investment Position'!L$66)*(('INV500 '!$T$3:$T$501&gt;'Investment Position'!K$66)*('INV500 '!$C$3:$C$501=$B69)*('INV500 '!$O$3:$O$501&lt;&gt;"M")*1000))</f>
        <v>0</v>
      </c>
      <c r="M69" s="183">
        <f>SUMPRODUCT('INV500 '!$V$3:$V$501*('INV500 '!$T$3:$T$501&lt;='Investment Position'!M$66)*(('INV500 '!$T$3:$T$501&gt;'Investment Position'!L$66)*('INV500 '!$C$3:$C$501=$B69)*('INV500 '!$O$3:$O$501&lt;&gt;"M")*1000))</f>
        <v>0</v>
      </c>
      <c r="N69" s="183">
        <f>SUMPRODUCT('INV500 '!$V$3:$V$501*('INV500 '!$T$3:$T$501&lt;='Investment Position'!N$66)*(('INV500 '!$T$3:$T$501&gt;'Investment Position'!M$66)*('INV500 '!$C$3:$C$501=$B69)*('INV500 '!$O$3:$O$501&lt;&gt;"M")*1000))</f>
        <v>0</v>
      </c>
      <c r="O69" s="183">
        <f>SUMPRODUCT('INV500 '!$V$3:$V$501*('INV500 '!$T$3:$T$501&lt;='Investment Position'!O$66)*(('INV500 '!$T$3:$T$501&gt;'Investment Position'!N$66)*('INV500 '!$C$3:$C$501=$B69)*('INV500 '!$O$3:$O$501&lt;&gt;"M")*1000))</f>
        <v>0</v>
      </c>
      <c r="P69" s="155">
        <f t="shared" si="13"/>
        <v>2966300000</v>
      </c>
      <c r="Q69" s="64" t="b">
        <f t="shared" si="14"/>
        <v>1</v>
      </c>
    </row>
    <row r="70" spans="1:17">
      <c r="A70" s="153" t="s">
        <v>82</v>
      </c>
      <c r="B70" s="128" t="s">
        <v>119</v>
      </c>
      <c r="C70" s="183">
        <f>SUMPRODUCT('INV500 '!$V$3:$V$501*('INV500 '!$T$3:$T$501&lt;='Investment Position'!C$66)*('INV500 '!$C$3:$C$501=62)*('INV500 '!$O$3:$O$501&lt;&gt;"M")*('INV500 '!$H$3:$H$501&lt;&gt;"WELLS FARGO TH GEN 17412701   ")*1000)+SUMPRODUCT('INV500 '!$V$3:$V$501*('INV500 '!$T$3:$T$501&lt;='Investment Position'!C$66)*('INV500 '!$C$3:$C$501=70)*('INV500 '!$O$3:$O$501&lt;&gt;"M")*1000)</f>
        <v>0</v>
      </c>
      <c r="D70" s="183">
        <f>SUMPRODUCT('INV500 '!$V$3:$V$501*('INV500 '!$T$3:$T$501&lt;='Investment Position'!D$66)*('INV500 '!$T$3:$T$501&gt;'Investment Position'!C$66)*('INV500 '!$C$3:$C$501=62)*('INV500 '!$H$3:$H$501&lt;&gt;"WELLS FARGO TH GEN 17412701   ")*1000)+SUMPRODUCT('INV500 '!$V$3:$V$501*('INV500 '!$T$3:$T$501&lt;='Investment Position'!D$66)*('INV500 '!$T$3:$T$501&gt;'Investment Position'!C$66)*('INV500 '!$C$3:$C$501=70)*1000)</f>
        <v>450000000</v>
      </c>
      <c r="E70" s="183">
        <f>SUMPRODUCT('INV500 '!$V$3:$V$501*('INV500 '!$T$3:$T$501&lt;='Investment Position'!E$66)*('INV500 '!$T$3:$T$501&gt;'Investment Position'!D$66)*('INV500 '!$C$3:$C$501=62)*('INV500 '!$H$3:$H$501&lt;&gt;"WELLS FARGO TH GEN 17412701   ")*1000)+SUMPRODUCT('INV500 '!$V$3:$V$501*('INV500 '!$T$3:$T$501&lt;='Investment Position'!E$66)*('INV500 '!$T$3:$T$501&gt;'Investment Position'!D$66)*('INV500 '!$C$3:$C$501=70)*1000)</f>
        <v>500000000</v>
      </c>
      <c r="F70" s="183">
        <f>SUMPRODUCT('INV500 '!$V$3:$V$501*('INV500 '!$T$3:$T$501&lt;='Investment Position'!F$66)*('INV500 '!$T$3:$T$501&gt;'Investment Position'!E$66)*('INV500 '!$C$3:$C$501=62)*('INV500 '!$H$3:$H$501&lt;&gt;"WELLS FARGO TH GEN 17412701   ")*1000)+SUMPRODUCT('INV500 '!$V$3:$V$501*('INV500 '!$T$3:$T$501&lt;='Investment Position'!F$66)*('INV500 '!$T$3:$T$501&gt;'Investment Position'!E$66)*('INV500 '!$C$3:$C$501=70)*1000)</f>
        <v>0</v>
      </c>
      <c r="G70" s="183">
        <f>SUMPRODUCT('INV500 '!$V$3:$V$501*('INV500 '!$T$3:$T$501&lt;='Investment Position'!G$66)*('INV500 '!$T$3:$T$501&gt;'Investment Position'!F$66)*('INV500 '!$C$3:$C$501=62)*('INV500 '!$H$3:$H$501&lt;&gt;"WELLS FARGO TH GEN 17412701   ")*1000)+SUMPRODUCT('INV500 '!$V$3:$V$501*('INV500 '!$T$3:$T$501&lt;='Investment Position'!G$66)*('INV500 '!$T$3:$T$501&gt;'Investment Position'!F$66)*('INV500 '!$C$3:$C$501=70)*1000)</f>
        <v>100000000</v>
      </c>
      <c r="H70" s="187">
        <f>SUMPRODUCT('INV500 '!$V$3:$V$501*('INV500 '!$T$3:$T$501&lt;='Investment Position'!H$66)*('INV500 '!$T$3:$T$501&gt;'Investment Position'!G$66)*('INV500 '!$C$3:$C$501=62)*('INV500 '!$H$3:$H$501&lt;&gt;"WELLS FARGO TH GEN 17412701   ")*1000)+SUMPRODUCT('INV500 '!$V$3:$V$501*('INV500 '!$T$3:$T$501&lt;='Investment Position'!H$66)*('INV500 '!$T$3:$T$501&gt;'Investment Position'!G$66)*('INV500 '!$C$3:$C$501=70)*1000)</f>
        <v>100000000</v>
      </c>
      <c r="I70" s="187">
        <f>SUMPRODUCT('INV500 '!$V$3:$V$501*('INV500 '!$T$3:$T$501&lt;='Investment Position'!I$66)*('INV500 '!$T$3:$T$501&gt;'Investment Position'!H$66)*('INV500 '!$C$3:$C$501=62)*('INV500 '!$H$3:$H$501&lt;&gt;"WELLS FARGO TH GEN 17412701   ")*1000)+SUMPRODUCT('INV500 '!$V$3:$V$501*('INV500 '!$T$3:$T$501&lt;='Investment Position'!I$66)*('INV500 '!$T$3:$T$501&gt;'Investment Position'!H$66)*('INV500 '!$C$3:$C$501=70)*1000)</f>
        <v>250000000</v>
      </c>
      <c r="J70" s="183">
        <f>SUMPRODUCT('INV500 '!$V$3:$V$501*('INV500 '!$T$3:$T$501&lt;='Investment Position'!J$66)*('INV500 '!$T$3:$T$501&gt;'Investment Position'!I$66)*('INV500 '!$C$3:$C$501=62)*('INV500 '!$H$3:$H$501&lt;&gt;"WELLS FARGO TH GEN 17412701   ")*1000)+SUMPRODUCT('INV500 '!$V$3:$V$501*('INV500 '!$T$3:$T$501&lt;='Investment Position'!J$66)*('INV500 '!$T$3:$T$501&gt;'Investment Position'!I$66)*('INV500 '!$C$3:$C$501=70)*1000)</f>
        <v>0</v>
      </c>
      <c r="K70" s="183">
        <f>SUMPRODUCT('INV500 '!$V$3:$V$501*('INV500 '!$T$3:$T$501&lt;='Investment Position'!K$66)*('INV500 '!$T$3:$T$501&gt;'Investment Position'!J$66)*('INV500 '!$C$3:$C$501=62)*('INV500 '!$H$3:$H$501&lt;&gt;"WELLS FARGO TH GEN 17412701   ")*1000)+SUMPRODUCT('INV500 '!$V$3:$V$501*('INV500 '!$T$3:$T$501&lt;='Investment Position'!K$66)*('INV500 '!$T$3:$T$501&gt;'Investment Position'!J$66)*('INV500 '!$C$3:$C$501=70)*1000)</f>
        <v>50000000</v>
      </c>
      <c r="L70" s="183">
        <f>SUMPRODUCT('INV500 '!$V$3:$V$501*('INV500 '!$T$3:$T$501&lt;='Investment Position'!L$66)*('INV500 '!$T$3:$T$501&gt;'Investment Position'!K$66)*('INV500 '!$C$3:$C$501=62)*('INV500 '!$H$3:$H$501&lt;&gt;"WELLS FARGO TH GEN 17412701   ")*1000)+SUMPRODUCT('INV500 '!$V$3:$V$501*('INV500 '!$T$3:$T$501&lt;='Investment Position'!L$66)*('INV500 '!$T$3:$T$501&gt;'Investment Position'!K$66)*('INV500 '!$C$3:$C$501=70)*1000)</f>
        <v>50000000</v>
      </c>
      <c r="M70" s="183">
        <f>SUMPRODUCT('INV500 '!$V$3:$V$501*('INV500 '!$T$3:$T$501&lt;='Investment Position'!M$66)*('INV500 '!$T$3:$T$501&gt;'Investment Position'!L$66)*('INV500 '!$C$3:$C$501=62)*('INV500 '!$H$3:$H$501&lt;&gt;"WELLS FARGO TH GEN 17412701   ")*1000)+SUMPRODUCT('INV500 '!$V$3:$V$501*('INV500 '!$T$3:$T$501&lt;='Investment Position'!M$66)*('INV500 '!$T$3:$T$501&gt;'Investment Position'!L$66)*('INV500 '!$C$3:$C$501=70)*1000)</f>
        <v>150000000</v>
      </c>
      <c r="N70" s="183">
        <f>SUMPRODUCT('INV500 '!$V$3:$V$501*('INV500 '!$T$3:$T$501&lt;='Investment Position'!N$66)*('INV500 '!$T$3:$T$501&gt;'Investment Position'!M$66)*('INV500 '!$C$3:$C$501=62)*('INV500 '!$H$3:$H$501&lt;&gt;"WELLS FARGO TH GEN 17412701   ")*1000)+SUMPRODUCT('INV500 '!$V$3:$V$501*('INV500 '!$T$3:$T$501&lt;='Investment Position'!N$66)*('INV500 '!$T$3:$T$501&gt;'Investment Position'!M$66)*('INV500 '!$C$3:$C$501=70)*1000)</f>
        <v>350000000</v>
      </c>
      <c r="O70" s="183">
        <f>SUMPRODUCT('INV500 '!$V$3:$V$501*('INV500 '!$T$3:$T$501&lt;='Investment Position'!O$66)*('INV500 '!$T$3:$T$501&gt;'Investment Position'!N$66)*('INV500 '!$C$3:$C$501=62)*('INV500 '!$H$3:$H$501&lt;&gt;"WELLS FARGO TH GEN 17412701   ")*1000)+SUMPRODUCT('INV500 '!$V$3:$V$501*('INV500 '!$T$3:$T$501&lt;='Investment Position'!O$66)*('INV500 '!$T$3:$T$501&gt;'Investment Position'!N$66)*('INV500 '!$C$3:$C$501=70)*1000)</f>
        <v>450000000</v>
      </c>
      <c r="P70" s="155">
        <f t="shared" si="13"/>
        <v>2450000000</v>
      </c>
      <c r="Q70" s="64" t="b">
        <f t="shared" si="14"/>
        <v>1</v>
      </c>
    </row>
    <row r="71" spans="1:17">
      <c r="A71" s="153" t="s">
        <v>81</v>
      </c>
      <c r="B71" s="128" t="s">
        <v>124</v>
      </c>
      <c r="C71" s="183">
        <f>SUMPRODUCT('INV500 '!$V$3:$V$501*('INV500 '!$T$3:$T$501&lt;='Investment Position'!C$66)*('INV500 '!$C$3:$C$501=89)*('INV500 '!$O$3:$O$501&lt;&gt;"M")*('INV500 '!$H$3:$H$501&lt;&gt;"WELLS FARGO TH GEN 17412701   ")*1000)+SUMPRODUCT('INV500 '!$V$3:$V$501*('INV500 '!$T$3:$T$501&lt;='Investment Position'!C$66)*('INV500 '!$C$3:$C$501=87)*('INV500 '!$O$3:$O$501&lt;&gt;"M")*('INV500 '!$H$3:$H$501&lt;&gt;"WELLS FARGO TH GEN 17412701   ")*1000)+SUMPRODUCT('INV500 '!$V$3:$V$501*('INV500 '!$T$3:$T$501&lt;='Investment Position'!C$66)*('INV500 '!$C$3:$C$501=69)*('INV500 '!$O$3:$O$501&lt;&gt;"M")*('INV500 '!$H$3:$H$501&lt;&gt;"WELLS FARGO TH GEN 17412701   ")*1000)+SUMPRODUCT('INV500 '!$V$3:$V$501*('INV500 '!$T$3:$T$501&lt;='Investment Position'!C$66)*('INV500 '!$C$3:$C$501=66)*('INV500 '!$O$3:$O$501&lt;&gt;"M")*('INV500 '!$H$3:$H$501&lt;&gt;"WELLS FARGO TH GEN 17412701   ")*1000)+SUMPRODUCT('INV500 '!$V$3:$V$501*('INV500 '!$T$3:$T$501&lt;='Investment Position'!C$66)*('INV500 '!$C$3:$C$501=84)*('INV500 '!$O$3:$O$501&lt;&gt;"M")*('INV500 '!$H$3:$H$501&lt;&gt;"WELLS FARGO TH GEN 17412701   ")*1000)+SUMPRODUCT('INV500 '!$V$3:$V$501*('INV500 '!$T$3:$T$501&lt;='Investment Position'!C$66)*('INV500 '!$C$3:$C$501=85)*('INV500 '!$O$3:$O$501&lt;&gt;"M")*('INV500 '!$H$3:$H$501&lt;&gt;"WELLS FARGO TH GEN 17412701   ")*1000)+SUMPRODUCT('INV500 '!$V$3:$V$501*('INV500 '!$T$3:$T$501&lt;='Investment Position'!C$66)*('INV500 '!$C$3:$C$501=86)*('INV500 '!$O$3:$O$501&lt;&gt;"M")*('INV500 '!$H$3:$H$501&lt;&gt;"WELLS FARGO TH GEN 17412701   ")*1000)+SUMPRODUCT('INV500 '!$V$3:$V$501*('INV500 '!$T$3:$T$501&lt;='Investment Position'!C$66)*('INV500 '!$C$3:$C$501=67)*('INV500 '!$O$3:$O$501&lt;&gt;"M")*('INV500 '!$H$3:$H$501&lt;&gt;"WELLS FARGO TH GEN 17412701   ")*1000)+SUMPRODUCT('INV500 '!$V$3:$V$501*('INV500 '!$T$3:$T$501&lt;='Investment Position'!C$66)*('INV500 '!$C$3:$C$501=91)*('INV500 '!$O$3:$O$501&lt;&gt;"M")*('INV500 '!$H$3:$H$501&lt;&gt;"WELLS FARGO TH GEN 17412701   ")*1000)+SUMPRODUCT('INV500 '!$V$3:$V$501*('INV500 '!$T$3:$T$501&lt;='Investment Position'!C$66)*('INV500 '!$C$3:$C$501=92)*('INV500 '!$O$3:$O$501&lt;&gt;"M")*('INV500 '!$H$3:$H$501&lt;&gt;"WELLS FARGO TH GEN 17412701   ")*1000)</f>
        <v>0</v>
      </c>
      <c r="D71" s="183">
        <f>SUMPRODUCT('INV500 '!$V$3:$V$501*('INV500 '!$T$3:$T$501&lt;='Investment Position'!D$66)*('INV500 '!$T$3:$T$501&gt;'Investment Position'!C$66)*('INV500 '!$C$3:$C$501=89)*('INV500 '!$O$3:$O$501&lt;&gt;"M")*('INV500 '!$H$3:$H$501&lt;&gt;"WELLS FARGO TH GEN 17412701   ")*1000)+SUMPRODUCT('INV500 '!$V$3:$V$501*('INV500 '!$T$3:$T$501&lt;='Investment Position'!D$66)*('INV500 '!$T$3:$T$501&gt;'Investment Position'!C$66)*('INV500 '!$C$3:$C$501=87)*('INV500 '!$O$3:$O$501&lt;&gt;"M")*('INV500 '!$H$3:$H$501&lt;&gt;"WELLS FARGO TH GEN 17412701   ")*1000)+SUMPRODUCT('INV500 '!$V$3:$V$501*('INV500 '!$T$3:$T$501&lt;='Investment Position'!D$66)*('INV500 '!$T$3:$T$501&gt;'Investment Position'!C$66)*('INV500 '!$C$3:$C$501=69)*('INV500 '!$O$3:$O$501&lt;&gt;"M")*('INV500 '!$H$3:$H$501&lt;&gt;"WELLS FARGO TH GEN 17412701   ")*1000)+SUMPRODUCT('INV500 '!$V$3:$V$501*('INV500 '!$T$3:$T$501&lt;='Investment Position'!D$66)*('INV500 '!$T$3:$T$501&gt;'Investment Position'!C$66)*('INV500 '!$C$3:$C$501=66)*('INV500 '!$O$3:$O$501&lt;&gt;"M")*('INV500 '!$H$3:$H$501&lt;&gt;"WELLS FARGO TH GEN 17412701   ")*1000)+SUMPRODUCT('INV500 '!$V$3:$V$501*('INV500 '!$T$3:$T$501&lt;='Investment Position'!D$66)*('INV500 '!$T$3:$T$501&gt;'Investment Position'!C$66)*('INV500 '!$C$3:$C$501=84)*('INV500 '!$O$3:$O$501&lt;&gt;"M")*('INV500 '!$H$3:$H$501&lt;&gt;"WELLS FARGO TH GEN 17412701   ")*1000)+SUMPRODUCT('INV500 '!$V$3:$V$501*('INV500 '!$T$3:$T$501&lt;='Investment Position'!D$66)*('INV500 '!$T$3:$T$501&gt;'Investment Position'!C$66)*('INV500 '!$C$3:$C$501=85)*('INV500 '!$O$3:$O$501&lt;&gt;"M")*('INV500 '!$H$3:$H$501&lt;&gt;"WELLS FARGO TH GEN 17412701   ")*1000)+SUMPRODUCT('INV500 '!$V$3:$V$501*('INV500 '!$T$3:$T$501&lt;='Investment Position'!D$66)*('INV500 '!$T$3:$T$501&gt;'Investment Position'!C$66)*('INV500 '!$C$3:$C$501=86)*('INV500 '!$O$3:$O$501&lt;&gt;"M")*('INV500 '!$H$3:$H$501&lt;&gt;"WELLS FARGO TH GEN 17412701   ")*1000)+SUMPRODUCT('INV500 '!$V$3:$V$501*('INV500 '!$T$3:$T$501&lt;='Investment Position'!D$66)*('INV500 '!$T$3:$T$501&gt;'Investment Position'!C$66)*('INV500 '!$C$3:$C$501=67)*('INV500 '!$O$3:$O$501&lt;&gt;"M")*('INV500 '!$H$3:$H$501&lt;&gt;"WELLS FARGO TH GEN 17412701   ")*1000)+SUMPRODUCT('INV500 '!$V$3:$V$501*('INV500 '!$T$3:$T$501&lt;='Investment Position'!D$66)*('INV500 '!$T$3:$T$501&gt;'Investment Position'!C$66)*('INV500 '!$C$3:$C$501=91)*('INV500 '!$O$3:$O$501&lt;&gt;"M")*('INV500 '!$H$3:$H$501&lt;&gt;"WELLS FARGO TH GEN 17412701   ")*1000)+SUMPRODUCT('INV500 '!$V$3:$V$501*('INV500 '!$T$3:$T$501&lt;='Investment Position'!D$66)*('INV500 '!$T$3:$T$501&gt;'Investment Position'!C$66)*('INV500 '!$C$3:$C$501=92)*('INV500 '!$O$3:$O$501&lt;&gt;"M")*('INV500 '!$H$3:$H$501&lt;&gt;"WELLS FARGO TH GEN 17412701   ")*1000)</f>
        <v>25000000</v>
      </c>
      <c r="E71" s="183">
        <f>SUMPRODUCT('INV500 '!$V$3:$V$501*('INV500 '!$T$3:$T$501&lt;='Investment Position'!E$66)*('INV500 '!$T$3:$T$501&gt;'Investment Position'!D$66)*('INV500 '!$C$3:$C$501=89)*('INV500 '!$O$3:$O$501&lt;&gt;"M")*('INV500 '!$H$3:$H$501&lt;&gt;"WELLS FARGO TH GEN 17412701   ")*1000)+SUMPRODUCT('INV500 '!$V$3:$V$501*('INV500 '!$T$3:$T$501&lt;='Investment Position'!E$66)*('INV500 '!$T$3:$T$501&gt;'Investment Position'!D$66)*('INV500 '!$C$3:$C$501=87)*('INV500 '!$O$3:$O$501&lt;&gt;"M")*('INV500 '!$H$3:$H$501&lt;&gt;"WELLS FARGO TH GEN 17412701   ")*1000)+SUMPRODUCT('INV500 '!$V$3:$V$501*('INV500 '!$T$3:$T$501&lt;='Investment Position'!E$66)*('INV500 '!$T$3:$T$501&gt;'Investment Position'!D$66)*('INV500 '!$C$3:$C$501=69)*('INV500 '!$O$3:$O$501&lt;&gt;"M")*('INV500 '!$H$3:$H$501&lt;&gt;"WELLS FARGO TH GEN 17412701   ")*1000)+SUMPRODUCT('INV500 '!$V$3:$V$501*('INV500 '!$T$3:$T$501&lt;='Investment Position'!E$66)*('INV500 '!$T$3:$T$501&gt;'Investment Position'!D$66)*('INV500 '!$C$3:$C$501=66)*('INV500 '!$O$3:$O$501&lt;&gt;"M")*('INV500 '!$H$3:$H$501&lt;&gt;"WELLS FARGO TH GEN 17412701   ")*1000)+SUMPRODUCT('INV500 '!$V$3:$V$501*('INV500 '!$T$3:$T$501&lt;='Investment Position'!E$66)*('INV500 '!$T$3:$T$501&gt;'Investment Position'!D$66)*('INV500 '!$C$3:$C$501=84)*('INV500 '!$O$3:$O$501&lt;&gt;"M")*('INV500 '!$H$3:$H$501&lt;&gt;"WELLS FARGO TH GEN 17412701   ")*1000)+SUMPRODUCT('INV500 '!$V$3:$V$501*('INV500 '!$T$3:$T$501&lt;='Investment Position'!E$66)*('INV500 '!$T$3:$T$501&gt;'Investment Position'!D$66)*('INV500 '!$C$3:$C$501=85)*('INV500 '!$O$3:$O$501&lt;&gt;"M")*('INV500 '!$H$3:$H$501&lt;&gt;"WELLS FARGO TH GEN 17412701   ")*1000)+SUMPRODUCT('INV500 '!$V$3:$V$501*('INV500 '!$T$3:$T$501&lt;='Investment Position'!E$66)*('INV500 '!$T$3:$T$501&gt;'Investment Position'!D$66)*('INV500 '!$C$3:$C$501=86)*('INV500 '!$O$3:$O$501&lt;&gt;"M")*('INV500 '!$H$3:$H$501&lt;&gt;"WELLS FARGO TH GEN 17412701   ")*1000)+SUMPRODUCT('INV500 '!$V$3:$V$501*('INV500 '!$T$3:$T$501&lt;='Investment Position'!E$66)*('INV500 '!$T$3:$T$501&gt;'Investment Position'!D$66)*('INV500 '!$C$3:$C$501=67)*('INV500 '!$O$3:$O$501&lt;&gt;"M")*('INV500 '!$H$3:$H$501&lt;&gt;"WELLS FARGO TH GEN 17412701   ")*1000)+SUMPRODUCT('INV500 '!$V$3:$V$501*('INV500 '!$T$3:$T$501&lt;='Investment Position'!E$66)*('INV500 '!$T$3:$T$501&gt;'Investment Position'!D$66)*('INV500 '!$C$3:$C$501=91)*('INV500 '!$O$3:$O$501&lt;&gt;"M")*('INV500 '!$H$3:$H$501&lt;&gt;"WELLS FARGO TH GEN 17412701   ")*1000)+SUMPRODUCT('INV500 '!$V$3:$V$501*('INV500 '!$T$3:$T$501&lt;='Investment Position'!E$66)*('INV500 '!$T$3:$T$501&gt;'Investment Position'!D$66)*('INV500 '!$C$3:$C$501=92)*('INV500 '!$O$3:$O$501&lt;&gt;"M")*('INV500 '!$H$3:$H$501&lt;&gt;"WELLS FARGO TH GEN 17412701   ")*1000)</f>
        <v>34000000</v>
      </c>
      <c r="F71" s="183">
        <f>SUMPRODUCT('INV500 '!$V$3:$V$501*('INV500 '!$T$3:$T$501&lt;='Investment Position'!F$66)*('INV500 '!$T$3:$T$501&gt;'Investment Position'!E$66)*('INV500 '!$C$3:$C$501=89)*('INV500 '!$O$3:$O$501&lt;&gt;"M")*('INV500 '!$H$3:$H$501&lt;&gt;"WELLS FARGO TH GEN 17412701   ")*1000)+SUMPRODUCT('INV500 '!$V$3:$V$501*('INV500 '!$T$3:$T$501&lt;='Investment Position'!F$66)*('INV500 '!$T$3:$T$501&gt;'Investment Position'!E$66)*('INV500 '!$C$3:$C$501=87)*('INV500 '!$O$3:$O$501&lt;&gt;"M")*('INV500 '!$H$3:$H$501&lt;&gt;"WELLS FARGO TH GEN 17412701   ")*1000)+SUMPRODUCT('INV500 '!$V$3:$V$501*('INV500 '!$T$3:$T$501&lt;='Investment Position'!F$66)*('INV500 '!$T$3:$T$501&gt;'Investment Position'!E$66)*('INV500 '!$C$3:$C$501=69)*('INV500 '!$O$3:$O$501&lt;&gt;"M")*('INV500 '!$H$3:$H$501&lt;&gt;"WELLS FARGO TH GEN 17412701   ")*1000)+SUMPRODUCT('INV500 '!$V$3:$V$501*('INV500 '!$T$3:$T$501&lt;='Investment Position'!F$66)*('INV500 '!$T$3:$T$501&gt;'Investment Position'!E$66)*('INV500 '!$C$3:$C$501=66)*('INV500 '!$O$3:$O$501&lt;&gt;"M")*('INV500 '!$H$3:$H$501&lt;&gt;"WELLS FARGO TH GEN 17412701   ")*1000)+SUMPRODUCT('INV500 '!$V$3:$V$501*('INV500 '!$T$3:$T$501&lt;='Investment Position'!F$66)*('INV500 '!$T$3:$T$501&gt;'Investment Position'!E$66)*('INV500 '!$C$3:$C$501=84)*('INV500 '!$O$3:$O$501&lt;&gt;"M")*('INV500 '!$H$3:$H$501&lt;&gt;"WELLS FARGO TH GEN 17412701   ")*1000)+SUMPRODUCT('INV500 '!$V$3:$V$501*('INV500 '!$T$3:$T$501&lt;='Investment Position'!F$66)*('INV500 '!$T$3:$T$501&gt;'Investment Position'!E$66)*('INV500 '!$C$3:$C$501=85)*('INV500 '!$O$3:$O$501&lt;&gt;"M")*('INV500 '!$H$3:$H$501&lt;&gt;"WELLS FARGO TH GEN 17412701   ")*1000)+SUMPRODUCT('INV500 '!$V$3:$V$501*('INV500 '!$T$3:$T$501&lt;='Investment Position'!F$66)*('INV500 '!$T$3:$T$501&gt;'Investment Position'!E$66)*('INV500 '!$C$3:$C$501=86)*('INV500 '!$O$3:$O$501&lt;&gt;"M")*('INV500 '!$H$3:$H$501&lt;&gt;"WELLS FARGO TH GEN 17412701   ")*1000)+SUMPRODUCT('INV500 '!$V$3:$V$501*('INV500 '!$T$3:$T$501&lt;='Investment Position'!F$66)*('INV500 '!$T$3:$T$501&gt;'Investment Position'!E$66)*('INV500 '!$C$3:$C$501=67)*('INV500 '!$O$3:$O$501&lt;&gt;"M")*('INV500 '!$H$3:$H$501&lt;&gt;"WELLS FARGO TH GEN 17412701   ")*1000)+SUMPRODUCT('INV500 '!$V$3:$V$501*('INV500 '!$T$3:$T$501&lt;='Investment Position'!F$66)*('INV500 '!$T$3:$T$501&gt;'Investment Position'!E$66)*('INV500 '!$C$3:$C$501=91)*('INV500 '!$O$3:$O$501&lt;&gt;"M")*('INV500 '!$H$3:$H$501&lt;&gt;"WELLS FARGO TH GEN 17412701   ")*1000)+SUMPRODUCT('INV500 '!$V$3:$V$501*('INV500 '!$T$3:$T$501&lt;='Investment Position'!F$66)*('INV500 '!$T$3:$T$501&gt;'Investment Position'!E$66)*('INV500 '!$C$3:$C$501=92)*('INV500 '!$O$3:$O$501&lt;&gt;"M")*('INV500 '!$H$3:$H$501&lt;&gt;"WELLS FARGO TH GEN 17412701   ")*1000)</f>
        <v>25000000</v>
      </c>
      <c r="G71" s="183">
        <f>SUMPRODUCT('INV500 '!$V$3:$V$501*('INV500 '!$T$3:$T$501&lt;='Investment Position'!G$66)*('INV500 '!$T$3:$T$501&gt;'Investment Position'!F$66)*('INV500 '!$C$3:$C$501=89)*('INV500 '!$O$3:$O$501&lt;&gt;"M")*('INV500 '!$H$3:$H$501&lt;&gt;"WELLS FARGO TH GEN 17412701   ")*1000)+SUMPRODUCT('INV500 '!$V$3:$V$501*('INV500 '!$T$3:$T$501&lt;='Investment Position'!G$66)*('INV500 '!$T$3:$T$501&gt;'Investment Position'!F$66)*('INV500 '!$C$3:$C$501=87)*('INV500 '!$O$3:$O$501&lt;&gt;"M")*('INV500 '!$H$3:$H$501&lt;&gt;"WELLS FARGO TH GEN 17412701   ")*1000)+SUMPRODUCT('INV500 '!$V$3:$V$501*('INV500 '!$T$3:$T$501&lt;='Investment Position'!G$66)*('INV500 '!$T$3:$T$501&gt;'Investment Position'!F$66)*('INV500 '!$C$3:$C$501=69)*('INV500 '!$O$3:$O$501&lt;&gt;"M")*('INV500 '!$H$3:$H$501&lt;&gt;"WELLS FARGO TH GEN 17412701   ")*1000)+SUMPRODUCT('INV500 '!$V$3:$V$501*('INV500 '!$T$3:$T$501&lt;='Investment Position'!G$66)*('INV500 '!$T$3:$T$501&gt;'Investment Position'!F$66)*('INV500 '!$C$3:$C$501=66)*('INV500 '!$O$3:$O$501&lt;&gt;"M")*('INV500 '!$H$3:$H$501&lt;&gt;"WELLS FARGO TH GEN 17412701   ")*1000)+SUMPRODUCT('INV500 '!$V$3:$V$501*('INV500 '!$T$3:$T$501&lt;='Investment Position'!G$66)*('INV500 '!$T$3:$T$501&gt;'Investment Position'!F$66)*('INV500 '!$C$3:$C$501=84)*('INV500 '!$O$3:$O$501&lt;&gt;"M")*('INV500 '!$H$3:$H$501&lt;&gt;"WELLS FARGO TH GEN 17412701   ")*1000)+SUMPRODUCT('INV500 '!$V$3:$V$501*('INV500 '!$T$3:$T$501&lt;='Investment Position'!G$66)*('INV500 '!$T$3:$T$501&gt;'Investment Position'!F$66)*('INV500 '!$C$3:$C$501=85)*('INV500 '!$O$3:$O$501&lt;&gt;"M")*('INV500 '!$H$3:$H$501&lt;&gt;"WELLS FARGO TH GEN 17412701   ")*1000)+SUMPRODUCT('INV500 '!$V$3:$V$501*('INV500 '!$T$3:$T$501&lt;='Investment Position'!G$66)*('INV500 '!$T$3:$T$501&gt;'Investment Position'!F$66)*('INV500 '!$C$3:$C$501=86)*('INV500 '!$O$3:$O$501&lt;&gt;"M")*('INV500 '!$H$3:$H$501&lt;&gt;"WELLS FARGO TH GEN 17412701   ")*1000)+SUMPRODUCT('INV500 '!$V$3:$V$501*('INV500 '!$T$3:$T$501&lt;='Investment Position'!G$66)*('INV500 '!$T$3:$T$501&gt;'Investment Position'!F$66)*('INV500 '!$C$3:$C$501=67)*('INV500 '!$O$3:$O$501&lt;&gt;"M")*('INV500 '!$H$3:$H$501&lt;&gt;"WELLS FARGO TH GEN 17412701   ")*1000)+SUMPRODUCT('INV500 '!$V$3:$V$501*('INV500 '!$T$3:$T$501&lt;='Investment Position'!G$66)*('INV500 '!$T$3:$T$501&gt;'Investment Position'!F$66)*('INV500 '!$C$3:$C$501=91)*('INV500 '!$O$3:$O$501&lt;&gt;"M")*('INV500 '!$H$3:$H$501&lt;&gt;"WELLS FARGO TH GEN 17412701   ")*1000)+SUMPRODUCT('INV500 '!$V$3:$V$501*('INV500 '!$T$3:$T$501&lt;='Investment Position'!G$66)*('INV500 '!$T$3:$T$501&gt;'Investment Position'!F$66)*('INV500 '!$C$3:$C$501=92)*('INV500 '!$O$3:$O$501&lt;&gt;"M")*('INV500 '!$H$3:$H$501&lt;&gt;"WELLS FARGO TH GEN 17412701   ")*1000)</f>
        <v>50000000</v>
      </c>
      <c r="H71" s="183">
        <f>SUMPRODUCT('INV500 '!$V$3:$V$501*('INV500 '!$T$3:$T$501&lt;='Investment Position'!H$66)*('INV500 '!$T$3:$T$501&gt;'Investment Position'!G$66)*('INV500 '!$C$3:$C$501=89)*('INV500 '!$O$3:$O$501&lt;&gt;"M")*('INV500 '!$H$3:$H$501&lt;&gt;"WELLS FARGO TH GEN 17412701   ")*1000)+SUMPRODUCT('INV500 '!$V$3:$V$501*('INV500 '!$T$3:$T$501&lt;='Investment Position'!H$66)*('INV500 '!$T$3:$T$501&gt;'Investment Position'!G$66)*('INV500 '!$C$3:$C$501=87)*('INV500 '!$O$3:$O$501&lt;&gt;"M")*('INV500 '!$H$3:$H$501&lt;&gt;"WELLS FARGO TH GEN 17412701   ")*1000)+SUMPRODUCT('INV500 '!$V$3:$V$501*('INV500 '!$T$3:$T$501&lt;='Investment Position'!H$66)*('INV500 '!$T$3:$T$501&gt;'Investment Position'!G$66)*('INV500 '!$C$3:$C$501=69)*('INV500 '!$O$3:$O$501&lt;&gt;"M")*('INV500 '!$H$3:$H$501&lt;&gt;"WELLS FARGO TH GEN 17412701   ")*1000)+SUMPRODUCT('INV500 '!$V$3:$V$501*('INV500 '!$T$3:$T$501&lt;='Investment Position'!H$66)*('INV500 '!$T$3:$T$501&gt;'Investment Position'!G$66)*('INV500 '!$C$3:$C$501=66)*('INV500 '!$O$3:$O$501&lt;&gt;"M")*('INV500 '!$H$3:$H$501&lt;&gt;"WELLS FARGO TH GEN 17412701   ")*1000)+SUMPRODUCT('INV500 '!$V$3:$V$501*('INV500 '!$T$3:$T$501&lt;='Investment Position'!H$66)*('INV500 '!$T$3:$T$501&gt;'Investment Position'!G$66)*('INV500 '!$C$3:$C$501=84)*('INV500 '!$O$3:$O$501&lt;&gt;"M")*('INV500 '!$H$3:$H$501&lt;&gt;"WELLS FARGO TH GEN 17412701   ")*1000)+SUMPRODUCT('INV500 '!$V$3:$V$501*('INV500 '!$T$3:$T$501&lt;='Investment Position'!H$66)*('INV500 '!$T$3:$T$501&gt;'Investment Position'!G$66)*('INV500 '!$C$3:$C$501=85)*('INV500 '!$O$3:$O$501&lt;&gt;"M")*('INV500 '!$H$3:$H$501&lt;&gt;"WELLS FARGO TH GEN 17412701   ")*1000)+SUMPRODUCT('INV500 '!$V$3:$V$501*('INV500 '!$T$3:$T$501&lt;='Investment Position'!H$66)*('INV500 '!$T$3:$T$501&gt;'Investment Position'!G$66)*('INV500 '!$C$3:$C$501=86)*('INV500 '!$O$3:$O$501&lt;&gt;"M")*('INV500 '!$H$3:$H$501&lt;&gt;"WELLS FARGO TH GEN 17412701   ")*1000)+SUMPRODUCT('INV500 '!$V$3:$V$501*('INV500 '!$T$3:$T$501&lt;='Investment Position'!H$66)*('INV500 '!$T$3:$T$501&gt;'Investment Position'!G$66)*('INV500 '!$C$3:$C$501=67)*('INV500 '!$O$3:$O$501&lt;&gt;"M")*('INV500 '!$H$3:$H$501&lt;&gt;"WELLS FARGO TH GEN 17412701   ")*1000)+SUMPRODUCT('INV500 '!$V$3:$V$501*('INV500 '!$T$3:$T$501&lt;='Investment Position'!H$66)*('INV500 '!$T$3:$T$501&gt;'Investment Position'!G$66)*('INV500 '!$C$3:$C$501=91)*('INV500 '!$O$3:$O$501&lt;&gt;"M")*('INV500 '!$H$3:$H$501&lt;&gt;"WELLS FARGO TH GEN 17412701   ")*1000)+SUMPRODUCT('INV500 '!$V$3:$V$501*('INV500 '!$T$3:$T$501&lt;='Investment Position'!H$66)*('INV500 '!$T$3:$T$501&gt;'Investment Position'!G$66)*('INV500 '!$C$3:$C$501=92)*('INV500 '!$O$3:$O$501&lt;&gt;"M")*('INV500 '!$H$3:$H$501&lt;&gt;"WELLS FARGO TH GEN 17412701   ")*1000)</f>
        <v>150000000</v>
      </c>
      <c r="I71" s="183">
        <f>SUMPRODUCT('INV500 '!$V$3:$V$501*('INV500 '!$T$3:$T$501&lt;='Investment Position'!I$66)*('INV500 '!$T$3:$T$501&gt;'Investment Position'!H$66)*('INV500 '!$C$3:$C$501=89)*('INV500 '!$O$3:$O$501&lt;&gt;"M")*('INV500 '!$H$3:$H$501&lt;&gt;"WELLS FARGO TH GEN 17412701   ")*1000)+SUMPRODUCT('INV500 '!$V$3:$V$501*('INV500 '!$T$3:$T$501&lt;='Investment Position'!I$66)*('INV500 '!$T$3:$T$501&gt;'Investment Position'!H$66)*('INV500 '!$C$3:$C$501=87)*('INV500 '!$O$3:$O$501&lt;&gt;"M")*('INV500 '!$H$3:$H$501&lt;&gt;"WELLS FARGO TH GEN 17412701   ")*1000)+SUMPRODUCT('INV500 '!$V$3:$V$501*('INV500 '!$T$3:$T$501&lt;='Investment Position'!I$66)*('INV500 '!$T$3:$T$501&gt;'Investment Position'!H$66)*('INV500 '!$C$3:$C$501=69)*('INV500 '!$O$3:$O$501&lt;&gt;"M")*('INV500 '!$H$3:$H$501&lt;&gt;"WELLS FARGO TH GEN 17412701   ")*1000)+SUMPRODUCT('INV500 '!$V$3:$V$501*('INV500 '!$T$3:$T$501&lt;='Investment Position'!I$66)*('INV500 '!$T$3:$T$501&gt;'Investment Position'!H$66)*('INV500 '!$C$3:$C$501=66)*('INV500 '!$O$3:$O$501&lt;&gt;"M")*('INV500 '!$H$3:$H$501&lt;&gt;"WELLS FARGO TH GEN 17412701   ")*1000)+SUMPRODUCT('INV500 '!$V$3:$V$501*('INV500 '!$T$3:$T$501&lt;='Investment Position'!I$66)*('INV500 '!$T$3:$T$501&gt;'Investment Position'!H$66)*('INV500 '!$C$3:$C$501=84)*('INV500 '!$O$3:$O$501&lt;&gt;"M")*('INV500 '!$H$3:$H$501&lt;&gt;"WELLS FARGO TH GEN 17412701   ")*1000)+SUMPRODUCT('INV500 '!$V$3:$V$501*('INV500 '!$T$3:$T$501&lt;='Investment Position'!I$66)*('INV500 '!$T$3:$T$501&gt;'Investment Position'!H$66)*('INV500 '!$C$3:$C$501=85)*('INV500 '!$O$3:$O$501&lt;&gt;"M")*('INV500 '!$H$3:$H$501&lt;&gt;"WELLS FARGO TH GEN 17412701   ")*1000)+SUMPRODUCT('INV500 '!$V$3:$V$501*('INV500 '!$T$3:$T$501&lt;='Investment Position'!I$66)*('INV500 '!$T$3:$T$501&gt;'Investment Position'!H$66)*('INV500 '!$C$3:$C$501=86)*('INV500 '!$O$3:$O$501&lt;&gt;"M")*('INV500 '!$H$3:$H$501&lt;&gt;"WELLS FARGO TH GEN 17412701   ")*1000)+SUMPRODUCT('INV500 '!$V$3:$V$501*('INV500 '!$T$3:$T$501&lt;='Investment Position'!I$66)*('INV500 '!$T$3:$T$501&gt;'Investment Position'!H$66)*('INV500 '!$C$3:$C$501=67)*('INV500 '!$O$3:$O$501&lt;&gt;"M")*('INV500 '!$H$3:$H$501&lt;&gt;"WELLS FARGO TH GEN 17412701   ")*1000)+SUMPRODUCT('INV500 '!$V$3:$V$501*('INV500 '!$T$3:$T$501&lt;='Investment Position'!I$66)*('INV500 '!$T$3:$T$501&gt;'Investment Position'!H$66)*('INV500 '!$C$3:$C$501=91)*('INV500 '!$O$3:$O$501&lt;&gt;"M")*('INV500 '!$H$3:$H$501&lt;&gt;"WELLS FARGO TH GEN 17412701   ")*1000)+SUMPRODUCT('INV500 '!$V$3:$V$501*('INV500 '!$T$3:$T$501&lt;='Investment Position'!I$66)*('INV500 '!$T$3:$T$501&gt;'Investment Position'!H$66)*('INV500 '!$C$3:$C$501=92)*('INV500 '!$O$3:$O$501&lt;&gt;"M")*('INV500 '!$H$3:$H$501&lt;&gt;"WELLS FARGO TH GEN 17412701   ")*1000)</f>
        <v>50000000</v>
      </c>
      <c r="J71" s="183">
        <f>SUMPRODUCT('INV500 '!$V$3:$V$501*('INV500 '!$T$3:$T$501&lt;='Investment Position'!J$66)*('INV500 '!$T$3:$T$501&gt;'Investment Position'!I$66)*('INV500 '!$C$3:$C$501=89)*('INV500 '!$O$3:$O$501&lt;&gt;"M")*('INV500 '!$H$3:$H$501&lt;&gt;"WELLS FARGO TH GEN 17412701   ")*1000)+SUMPRODUCT('INV500 '!$V$3:$V$501*('INV500 '!$T$3:$T$501&lt;='Investment Position'!J$66)*('INV500 '!$T$3:$T$501&gt;'Investment Position'!I$66)*('INV500 '!$C$3:$C$501=87)*('INV500 '!$O$3:$O$501&lt;&gt;"M")*('INV500 '!$H$3:$H$501&lt;&gt;"WELLS FARGO TH GEN 17412701   ")*1000)+SUMPRODUCT('INV500 '!$V$3:$V$501*('INV500 '!$T$3:$T$501&lt;='Investment Position'!J$66)*('INV500 '!$T$3:$T$501&gt;'Investment Position'!I$66)*('INV500 '!$C$3:$C$501=69)*('INV500 '!$O$3:$O$501&lt;&gt;"M")*('INV500 '!$H$3:$H$501&lt;&gt;"WELLS FARGO TH GEN 17412701   ")*1000)+SUMPRODUCT('INV500 '!$V$3:$V$501*('INV500 '!$T$3:$T$501&lt;='Investment Position'!J$66)*('INV500 '!$T$3:$T$501&gt;'Investment Position'!I$66)*('INV500 '!$C$3:$C$501=66)*('INV500 '!$O$3:$O$501&lt;&gt;"M")*('INV500 '!$H$3:$H$501&lt;&gt;"WELLS FARGO TH GEN 17412701   ")*1000)+SUMPRODUCT('INV500 '!$V$3:$V$501*('INV500 '!$T$3:$T$501&lt;='Investment Position'!J$66)*('INV500 '!$T$3:$T$501&gt;'Investment Position'!I$66)*('INV500 '!$C$3:$C$501=84)*('INV500 '!$O$3:$O$501&lt;&gt;"M")*('INV500 '!$H$3:$H$501&lt;&gt;"WELLS FARGO TH GEN 17412701   ")*1000)+SUMPRODUCT('INV500 '!$V$3:$V$501*('INV500 '!$T$3:$T$501&lt;='Investment Position'!J$66)*('INV500 '!$T$3:$T$501&gt;'Investment Position'!I$66)*('INV500 '!$C$3:$C$501=85)*('INV500 '!$O$3:$O$501&lt;&gt;"M")*('INV500 '!$H$3:$H$501&lt;&gt;"WELLS FARGO TH GEN 17412701   ")*1000)+SUMPRODUCT('INV500 '!$V$3:$V$501*('INV500 '!$T$3:$T$501&lt;='Investment Position'!J$66)*('INV500 '!$T$3:$T$501&gt;'Investment Position'!I$66)*('INV500 '!$C$3:$C$501=86)*('INV500 '!$O$3:$O$501&lt;&gt;"M")*('INV500 '!$H$3:$H$501&lt;&gt;"WELLS FARGO TH GEN 17412701   ")*1000)+SUMPRODUCT('INV500 '!$V$3:$V$501*('INV500 '!$T$3:$T$501&lt;='Investment Position'!J$66)*('INV500 '!$T$3:$T$501&gt;'Investment Position'!I$66)*('INV500 '!$C$3:$C$501=67)*('INV500 '!$O$3:$O$501&lt;&gt;"M")*('INV500 '!$H$3:$H$501&lt;&gt;"WELLS FARGO TH GEN 17412701   ")*1000)+SUMPRODUCT('INV500 '!$V$3:$V$501*('INV500 '!$T$3:$T$501&lt;='Investment Position'!J$66)*('INV500 '!$T$3:$T$501&gt;'Investment Position'!I$66)*('INV500 '!$C$3:$C$501=91)*('INV500 '!$O$3:$O$501&lt;&gt;"M")*('INV500 '!$H$3:$H$501&lt;&gt;"WELLS FARGO TH GEN 17412701   ")*1000)+SUMPRODUCT('INV500 '!$V$3:$V$501*('INV500 '!$T$3:$T$501&lt;='Investment Position'!J$66)*('INV500 '!$T$3:$T$501&gt;'Investment Position'!I$66)*('INV500 '!$C$3:$C$501=92)*('INV500 '!$O$3:$O$501&lt;&gt;"M")*('INV500 '!$H$3:$H$501&lt;&gt;"WELLS FARGO TH GEN 17412701   ")*1000)</f>
        <v>66000000</v>
      </c>
      <c r="K71" s="183">
        <f>SUMPRODUCT('INV500 '!$V$3:$V$501*('INV500 '!$T$3:$T$501&lt;='Investment Position'!K$66)*('INV500 '!$T$3:$T$501&gt;'Investment Position'!J$66)*('INV500 '!$C$3:$C$501=89)*('INV500 '!$O$3:$O$501&lt;&gt;"M")*('INV500 '!$H$3:$H$501&lt;&gt;"WELLS FARGO TH GEN 17412701   ")*1000)+SUMPRODUCT('INV500 '!$V$3:$V$501*('INV500 '!$T$3:$T$501&lt;='Investment Position'!K$66)*('INV500 '!$T$3:$T$501&gt;'Investment Position'!J$66)*('INV500 '!$C$3:$C$501=87)*('INV500 '!$O$3:$O$501&lt;&gt;"M")*('INV500 '!$H$3:$H$501&lt;&gt;"WELLS FARGO TH GEN 17412701   ")*1000)+SUMPRODUCT('INV500 '!$V$3:$V$501*('INV500 '!$T$3:$T$501&lt;='Investment Position'!K$66)*('INV500 '!$T$3:$T$501&gt;'Investment Position'!J$66)*('INV500 '!$C$3:$C$501=69)*('INV500 '!$O$3:$O$501&lt;&gt;"M")*('INV500 '!$H$3:$H$501&lt;&gt;"WELLS FARGO TH GEN 17412701   ")*1000)+SUMPRODUCT('INV500 '!$V$3:$V$501*('INV500 '!$T$3:$T$501&lt;='Investment Position'!K$66)*('INV500 '!$T$3:$T$501&gt;'Investment Position'!J$66)*('INV500 '!$C$3:$C$501=66)*('INV500 '!$O$3:$O$501&lt;&gt;"M")*('INV500 '!$H$3:$H$501&lt;&gt;"WELLS FARGO TH GEN 17412701   ")*1000)+SUMPRODUCT('INV500 '!$V$3:$V$501*('INV500 '!$T$3:$T$501&lt;='Investment Position'!K$66)*('INV500 '!$T$3:$T$501&gt;'Investment Position'!J$66)*('INV500 '!$C$3:$C$501=84)*('INV500 '!$O$3:$O$501&lt;&gt;"M")*('INV500 '!$H$3:$H$501&lt;&gt;"WELLS FARGO TH GEN 17412701   ")*1000)+SUMPRODUCT('INV500 '!$V$3:$V$501*('INV500 '!$T$3:$T$501&lt;='Investment Position'!K$66)*('INV500 '!$T$3:$T$501&gt;'Investment Position'!J$66)*('INV500 '!$C$3:$C$501=85)*('INV500 '!$O$3:$O$501&lt;&gt;"M")*('INV500 '!$H$3:$H$501&lt;&gt;"WELLS FARGO TH GEN 17412701   ")*1000)+SUMPRODUCT('INV500 '!$V$3:$V$501*('INV500 '!$T$3:$T$501&lt;='Investment Position'!K$66)*('INV500 '!$T$3:$T$501&gt;'Investment Position'!J$66)*('INV500 '!$C$3:$C$501=86)*('INV500 '!$O$3:$O$501&lt;&gt;"M")*('INV500 '!$H$3:$H$501&lt;&gt;"WELLS FARGO TH GEN 17412701   ")*1000)+SUMPRODUCT('INV500 '!$V$3:$V$501*('INV500 '!$T$3:$T$501&lt;='Investment Position'!K$66)*('INV500 '!$T$3:$T$501&gt;'Investment Position'!J$66)*('INV500 '!$C$3:$C$501=67)*('INV500 '!$O$3:$O$501&lt;&gt;"M")*('INV500 '!$H$3:$H$501&lt;&gt;"WELLS FARGO TH GEN 17412701   ")*1000)+SUMPRODUCT('INV500 '!$V$3:$V$501*('INV500 '!$T$3:$T$501&lt;='Investment Position'!K$66)*('INV500 '!$T$3:$T$501&gt;'Investment Position'!J$66)*('INV500 '!$C$3:$C$501=91)*('INV500 '!$O$3:$O$501&lt;&gt;"M")*('INV500 '!$H$3:$H$501&lt;&gt;"WELLS FARGO TH GEN 17412701   ")*1000)+SUMPRODUCT('INV500 '!$V$3:$V$501*('INV500 '!$T$3:$T$501&lt;='Investment Position'!K$66)*('INV500 '!$T$3:$T$501&gt;'Investment Position'!J$66)*('INV500 '!$C$3:$C$501=92)*('INV500 '!$O$3:$O$501&lt;&gt;"M")*('INV500 '!$H$3:$H$501&lt;&gt;"WELLS FARGO TH GEN 17412701   ")*1000)</f>
        <v>150000000</v>
      </c>
      <c r="L71" s="183">
        <f>SUMPRODUCT('INV500 '!$V$3:$V$501*('INV500 '!$T$3:$T$501&lt;='Investment Position'!L$66)*('INV500 '!$T$3:$T$501&gt;'Investment Position'!K$66)*('INV500 '!$C$3:$C$501=89)*('INV500 '!$O$3:$O$501&lt;&gt;"M")*('INV500 '!$H$3:$H$501&lt;&gt;"WELLS FARGO TH GEN 17412701   ")*1000)+SUMPRODUCT('INV500 '!$V$3:$V$501*('INV500 '!$T$3:$T$501&lt;='Investment Position'!L$66)*('INV500 '!$T$3:$T$501&gt;'Investment Position'!K$66)*('INV500 '!$C$3:$C$501=87)*('INV500 '!$O$3:$O$501&lt;&gt;"M")*('INV500 '!$H$3:$H$501&lt;&gt;"WELLS FARGO TH GEN 17412701   ")*1000)+SUMPRODUCT('INV500 '!$V$3:$V$501*('INV500 '!$T$3:$T$501&lt;='Investment Position'!L$66)*('INV500 '!$T$3:$T$501&gt;'Investment Position'!K$66)*('INV500 '!$C$3:$C$501=69)*('INV500 '!$O$3:$O$501&lt;&gt;"M")*('INV500 '!$H$3:$H$501&lt;&gt;"WELLS FARGO TH GEN 17412701   ")*1000)+SUMPRODUCT('INV500 '!$V$3:$V$501*('INV500 '!$T$3:$T$501&lt;='Investment Position'!L$66)*('INV500 '!$T$3:$T$501&gt;'Investment Position'!K$66)*('INV500 '!$C$3:$C$501=66)*('INV500 '!$O$3:$O$501&lt;&gt;"M")*('INV500 '!$H$3:$H$501&lt;&gt;"WELLS FARGO TH GEN 17412701   ")*1000)+SUMPRODUCT('INV500 '!$V$3:$V$501*('INV500 '!$T$3:$T$501&lt;='Investment Position'!L$66)*('INV500 '!$T$3:$T$501&gt;'Investment Position'!K$66)*('INV500 '!$C$3:$C$501=84)*('INV500 '!$O$3:$O$501&lt;&gt;"M")*('INV500 '!$H$3:$H$501&lt;&gt;"WELLS FARGO TH GEN 17412701   ")*1000)+SUMPRODUCT('INV500 '!$V$3:$V$501*('INV500 '!$T$3:$T$501&lt;='Investment Position'!L$66)*('INV500 '!$T$3:$T$501&gt;'Investment Position'!K$66)*('INV500 '!$C$3:$C$501=85)*('INV500 '!$O$3:$O$501&lt;&gt;"M")*('INV500 '!$H$3:$H$501&lt;&gt;"WELLS FARGO TH GEN 17412701   ")*1000)+SUMPRODUCT('INV500 '!$V$3:$V$501*('INV500 '!$T$3:$T$501&lt;='Investment Position'!L$66)*('INV500 '!$T$3:$T$501&gt;'Investment Position'!K$66)*('INV500 '!$C$3:$C$501=86)*('INV500 '!$O$3:$O$501&lt;&gt;"M")*('INV500 '!$H$3:$H$501&lt;&gt;"WELLS FARGO TH GEN 17412701   ")*1000)+SUMPRODUCT('INV500 '!$V$3:$V$501*('INV500 '!$T$3:$T$501&lt;='Investment Position'!L$66)*('INV500 '!$T$3:$T$501&gt;'Investment Position'!K$66)*('INV500 '!$C$3:$C$501=67)*('INV500 '!$O$3:$O$501&lt;&gt;"M")*('INV500 '!$H$3:$H$501&lt;&gt;"WELLS FARGO TH GEN 17412701   ")*1000)+SUMPRODUCT('INV500 '!$V$3:$V$501*('INV500 '!$T$3:$T$501&lt;='Investment Position'!L$66)*('INV500 '!$T$3:$T$501&gt;'Investment Position'!K$66)*('INV500 '!$C$3:$C$501=91)*('INV500 '!$O$3:$O$501&lt;&gt;"M")*('INV500 '!$H$3:$H$501&lt;&gt;"WELLS FARGO TH GEN 17412701   ")*1000)+SUMPRODUCT('INV500 '!$V$3:$V$501*('INV500 '!$T$3:$T$501&lt;='Investment Position'!L$66)*('INV500 '!$T$3:$T$501&gt;'Investment Position'!K$66)*('INV500 '!$C$3:$C$501=92)*('INV500 '!$O$3:$O$501&lt;&gt;"M")*('INV500 '!$H$3:$H$501&lt;&gt;"WELLS FARGO TH GEN 17412701   ")*1000)</f>
        <v>150000000</v>
      </c>
      <c r="M71" s="183">
        <f>SUMPRODUCT('INV500 '!$V$3:$V$501*('INV500 '!$T$3:$T$501&lt;='Investment Position'!M$66)*('INV500 '!$T$3:$T$501&gt;'Investment Position'!L$66)*('INV500 '!$C$3:$C$501=89)*('INV500 '!$O$3:$O$501&lt;&gt;"M")*('INV500 '!$H$3:$H$501&lt;&gt;"WELLS FARGO TH GEN 17412701   ")*1000)+SUMPRODUCT('INV500 '!$V$3:$V$501*('INV500 '!$T$3:$T$501&lt;='Investment Position'!M$66)*('INV500 '!$T$3:$T$501&gt;'Investment Position'!L$66)*('INV500 '!$C$3:$C$501=87)*('INV500 '!$O$3:$O$501&lt;&gt;"M")*('INV500 '!$H$3:$H$501&lt;&gt;"WELLS FARGO TH GEN 17412701   ")*1000)+SUMPRODUCT('INV500 '!$V$3:$V$501*('INV500 '!$T$3:$T$501&lt;='Investment Position'!M$66)*('INV500 '!$T$3:$T$501&gt;'Investment Position'!L$66)*('INV500 '!$C$3:$C$501=69)*('INV500 '!$O$3:$O$501&lt;&gt;"M")*('INV500 '!$H$3:$H$501&lt;&gt;"WELLS FARGO TH GEN 17412701   ")*1000)+SUMPRODUCT('INV500 '!$V$3:$V$501*('INV500 '!$T$3:$T$501&lt;='Investment Position'!M$66)*('INV500 '!$T$3:$T$501&gt;'Investment Position'!L$66)*('INV500 '!$C$3:$C$501=66)*('INV500 '!$O$3:$O$501&lt;&gt;"M")*('INV500 '!$H$3:$H$501&lt;&gt;"WELLS FARGO TH GEN 17412701   ")*1000)+SUMPRODUCT('INV500 '!$V$3:$V$501*('INV500 '!$T$3:$T$501&lt;='Investment Position'!M$66)*('INV500 '!$T$3:$T$501&gt;'Investment Position'!L$66)*('INV500 '!$C$3:$C$501=84)*('INV500 '!$O$3:$O$501&lt;&gt;"M")*('INV500 '!$H$3:$H$501&lt;&gt;"WELLS FARGO TH GEN 17412701   ")*1000)+SUMPRODUCT('INV500 '!$V$3:$V$501*('INV500 '!$T$3:$T$501&lt;='Investment Position'!M$66)*('INV500 '!$T$3:$T$501&gt;'Investment Position'!L$66)*('INV500 '!$C$3:$C$501=85)*('INV500 '!$O$3:$O$501&lt;&gt;"M")*('INV500 '!$H$3:$H$501&lt;&gt;"WELLS FARGO TH GEN 17412701   ")*1000)+SUMPRODUCT('INV500 '!$V$3:$V$501*('INV500 '!$T$3:$T$501&lt;='Investment Position'!M$66)*('INV500 '!$T$3:$T$501&gt;'Investment Position'!L$66)*('INV500 '!$C$3:$C$501=86)*('INV500 '!$O$3:$O$501&lt;&gt;"M")*('INV500 '!$H$3:$H$501&lt;&gt;"WELLS FARGO TH GEN 17412701   ")*1000)+SUMPRODUCT('INV500 '!$V$3:$V$501*('INV500 '!$T$3:$T$501&lt;='Investment Position'!M$66)*('INV500 '!$T$3:$T$501&gt;'Investment Position'!L$66)*('INV500 '!$C$3:$C$501=67)*('INV500 '!$O$3:$O$501&lt;&gt;"M")*('INV500 '!$H$3:$H$501&lt;&gt;"WELLS FARGO TH GEN 17412701   ")*1000)+SUMPRODUCT('INV500 '!$V$3:$V$501*('INV500 '!$T$3:$T$501&lt;='Investment Position'!M$66)*('INV500 '!$T$3:$T$501&gt;'Investment Position'!L$66)*('INV500 '!$C$3:$C$501=91)*('INV500 '!$O$3:$O$501&lt;&gt;"M")*('INV500 '!$H$3:$H$501&lt;&gt;"WELLS FARGO TH GEN 17412701   ")*1000)+SUMPRODUCT('INV500 '!$V$3:$V$501*('INV500 '!$T$3:$T$501&lt;='Investment Position'!M$66)*('INV500 '!$T$3:$T$501&gt;'Investment Position'!L$66)*('INV500 '!$C$3:$C$501=92)*('INV500 '!$O$3:$O$501&lt;&gt;"M")*('INV500 '!$H$3:$H$501&lt;&gt;"WELLS FARGO TH GEN 17412701   ")*1000)</f>
        <v>96000000</v>
      </c>
      <c r="N71" s="183">
        <f>SUMPRODUCT('INV500 '!$V$3:$V$501*('INV500 '!$T$3:$T$501&lt;='Investment Position'!N$66)*('INV500 '!$T$3:$T$501&gt;'Investment Position'!M$66)*('INV500 '!$C$3:$C$501=89)*('INV500 '!$O$3:$O$501&lt;&gt;"M")*('INV500 '!$H$3:$H$501&lt;&gt;"WELLS FARGO TH GEN 17412701   ")*1000)+SUMPRODUCT('INV500 '!$V$3:$V$501*('INV500 '!$T$3:$T$501&lt;='Investment Position'!N$66)*('INV500 '!$T$3:$T$501&gt;'Investment Position'!M$66)*('INV500 '!$C$3:$C$501=87)*('INV500 '!$O$3:$O$501&lt;&gt;"M")*('INV500 '!$H$3:$H$501&lt;&gt;"WELLS FARGO TH GEN 17412701   ")*1000)+SUMPRODUCT('INV500 '!$V$3:$V$501*('INV500 '!$T$3:$T$501&lt;='Investment Position'!N$66)*('INV500 '!$T$3:$T$501&gt;'Investment Position'!M$66)*('INV500 '!$C$3:$C$501=69)*('INV500 '!$O$3:$O$501&lt;&gt;"M")*('INV500 '!$H$3:$H$501&lt;&gt;"WELLS FARGO TH GEN 17412701   ")*1000)+SUMPRODUCT('INV500 '!$V$3:$V$501*('INV500 '!$T$3:$T$501&lt;='Investment Position'!N$66)*('INV500 '!$T$3:$T$501&gt;'Investment Position'!M$66)*('INV500 '!$C$3:$C$501=66)*('INV500 '!$O$3:$O$501&lt;&gt;"M")*('INV500 '!$H$3:$H$501&lt;&gt;"WELLS FARGO TH GEN 17412701   ")*1000)+SUMPRODUCT('INV500 '!$V$3:$V$501*('INV500 '!$T$3:$T$501&lt;='Investment Position'!N$66)*('INV500 '!$T$3:$T$501&gt;'Investment Position'!M$66)*('INV500 '!$C$3:$C$501=84)*('INV500 '!$O$3:$O$501&lt;&gt;"M")*('INV500 '!$H$3:$H$501&lt;&gt;"WELLS FARGO TH GEN 17412701   ")*1000)+SUMPRODUCT('INV500 '!$V$3:$V$501*('INV500 '!$T$3:$T$501&lt;='Investment Position'!N$66)*('INV500 '!$T$3:$T$501&gt;'Investment Position'!M$66)*('INV500 '!$C$3:$C$501=85)*('INV500 '!$O$3:$O$501&lt;&gt;"M")*('INV500 '!$H$3:$H$501&lt;&gt;"WELLS FARGO TH GEN 17412701   ")*1000)+SUMPRODUCT('INV500 '!$V$3:$V$501*('INV500 '!$T$3:$T$501&lt;='Investment Position'!N$66)*('INV500 '!$T$3:$T$501&gt;'Investment Position'!M$66)*('INV500 '!$C$3:$C$501=86)*('INV500 '!$O$3:$O$501&lt;&gt;"M")*('INV500 '!$H$3:$H$501&lt;&gt;"WELLS FARGO TH GEN 17412701   ")*1000)+SUMPRODUCT('INV500 '!$V$3:$V$501*('INV500 '!$T$3:$T$501&lt;='Investment Position'!N$66)*('INV500 '!$T$3:$T$501&gt;'Investment Position'!M$66)*('INV500 '!$C$3:$C$501=67)*('INV500 '!$O$3:$O$501&lt;&gt;"M")*('INV500 '!$H$3:$H$501&lt;&gt;"WELLS FARGO TH GEN 17412701   ")*1000)+SUMPRODUCT('INV500 '!$V$3:$V$501*('INV500 '!$T$3:$T$501&lt;='Investment Position'!N$66)*('INV500 '!$T$3:$T$501&gt;'Investment Position'!M$66)*('INV500 '!$C$3:$C$501=91)*('INV500 '!$O$3:$O$501&lt;&gt;"M")*('INV500 '!$H$3:$H$501&lt;&gt;"WELLS FARGO TH GEN 17412701   ")*1000)+SUMPRODUCT('INV500 '!$V$3:$V$501*('INV500 '!$T$3:$T$501&lt;='Investment Position'!N$66)*('INV500 '!$T$3:$T$501&gt;'Investment Position'!M$66)*('INV500 '!$C$3:$C$501=92)*('INV500 '!$O$3:$O$501&lt;&gt;"M")*('INV500 '!$H$3:$H$501&lt;&gt;"WELLS FARGO TH GEN 17412701   ")*1000)</f>
        <v>100002000</v>
      </c>
      <c r="O71" s="183">
        <f>SUMPRODUCT('INV500 '!$V$3:$V$501*('INV500 '!$T$3:$T$501&lt;='Investment Position'!O$66)*('INV500 '!$T$3:$T$501&gt;'Investment Position'!N$66)*('INV500 '!$C$3:$C$501=89)*('INV500 '!$O$3:$O$501&lt;&gt;"M")*('INV500 '!$H$3:$H$501&lt;&gt;"WELLS FARGO TH GEN 17412701   ")*1000)+SUMPRODUCT('INV500 '!$V$3:$V$501*('INV500 '!$T$3:$T$501&lt;='Investment Position'!O$66)*('INV500 '!$T$3:$T$501&gt;'Investment Position'!N$66)*('INV500 '!$C$3:$C$501=87)*('INV500 '!$O$3:$O$501&lt;&gt;"M")*('INV500 '!$H$3:$H$501&lt;&gt;"WELLS FARGO TH GEN 17412701   ")*1000)+SUMPRODUCT('INV500 '!$V$3:$V$501*('INV500 '!$T$3:$T$501&lt;='Investment Position'!O$66)*('INV500 '!$T$3:$T$501&gt;'Investment Position'!N$66)*('INV500 '!$C$3:$C$501=69)*('INV500 '!$O$3:$O$501&lt;&gt;"M")*('INV500 '!$H$3:$H$501&lt;&gt;"WELLS FARGO TH GEN 17412701   ")*1000)+SUMPRODUCT('INV500 '!$V$3:$V$501*('INV500 '!$T$3:$T$501&lt;='Investment Position'!O$66)*('INV500 '!$T$3:$T$501&gt;'Investment Position'!N$66)*('INV500 '!$C$3:$C$501=66)*('INV500 '!$O$3:$O$501&lt;&gt;"M")*('INV500 '!$H$3:$H$501&lt;&gt;"WELLS FARGO TH GEN 17412701   ")*1000)+SUMPRODUCT('INV500 '!$V$3:$V$501*('INV500 '!$T$3:$T$501&lt;='Investment Position'!O$66)*('INV500 '!$T$3:$T$501&gt;'Investment Position'!N$66)*('INV500 '!$C$3:$C$501=84)*('INV500 '!$O$3:$O$501&lt;&gt;"M")*('INV500 '!$H$3:$H$501&lt;&gt;"WELLS FARGO TH GEN 17412701   ")*1000)+SUMPRODUCT('INV500 '!$V$3:$V$501*('INV500 '!$T$3:$T$501&lt;='Investment Position'!O$66)*('INV500 '!$T$3:$T$501&gt;'Investment Position'!N$66)*('INV500 '!$C$3:$C$501=85)*('INV500 '!$O$3:$O$501&lt;&gt;"M")*('INV500 '!$H$3:$H$501&lt;&gt;"WELLS FARGO TH GEN 17412701   ")*1000)+SUMPRODUCT('INV500 '!$V$3:$V$501*('INV500 '!$T$3:$T$501&lt;='Investment Position'!O$66)*('INV500 '!$T$3:$T$501&gt;'Investment Position'!N$66)*('INV500 '!$C$3:$C$501=86)*('INV500 '!$O$3:$O$501&lt;&gt;"M")*('INV500 '!$H$3:$H$501&lt;&gt;"WELLS FARGO TH GEN 17412701   ")*1000)+SUMPRODUCT('INV500 '!$V$3:$V$501*('INV500 '!$T$3:$T$501&lt;='Investment Position'!O$66)*('INV500 '!$T$3:$T$501&gt;'Investment Position'!N$66)*('INV500 '!$C$3:$C$501=67)*('INV500 '!$O$3:$O$501&lt;&gt;"M")*('INV500 '!$H$3:$H$501&lt;&gt;"WELLS FARGO TH GEN 17412701   ")*1000)+SUMPRODUCT('INV500 '!$V$3:$V$501*('INV500 '!$T$3:$T$501&lt;='Investment Position'!O$66)*('INV500 '!$T$3:$T$501&gt;'Investment Position'!N$66)*('INV500 '!$C$3:$C$501=91)*('INV500 '!$O$3:$O$501&lt;&gt;"M")*('INV500 '!$H$3:$H$501&lt;&gt;"WELLS FARGO TH GEN 17412701   ")*1000)+SUMPRODUCT('INV500 '!$V$3:$V$501*('INV500 '!$T$3:$T$501&lt;='Investment Position'!O$66)*('INV500 '!$T$3:$T$501&gt;'Investment Position'!N$66)*('INV500 '!$C$3:$C$501=92)*('INV500 '!$O$3:$O$501&lt;&gt;"M")*('INV500 '!$H$3:$H$501&lt;&gt;"WELLS FARGO TH GEN 17412701   ")*1000)</f>
        <v>50000000</v>
      </c>
      <c r="P71" s="155">
        <f t="shared" si="13"/>
        <v>946002000</v>
      </c>
      <c r="Q71" s="64" t="b">
        <f t="shared" si="14"/>
        <v>1</v>
      </c>
    </row>
    <row r="72" spans="1:17">
      <c r="A72" s="153" t="s">
        <v>68</v>
      </c>
      <c r="B72" s="128" t="s">
        <v>120</v>
      </c>
      <c r="C72" s="183">
        <f>SUMPRODUCT('INV500 '!$V$3:$V$501*('INV500 '!$T$3:$T$501&lt;='Investment Position'!C$66)*('INV500 '!$C$3:$C$501=30)*('INV500 '!$O$3:$O$501&lt;&gt;"M")*1000)+SUMPRODUCT('INV500 '!$V$3:$V$501*('INV500 '!$T$3:$T$501&lt;='Investment Position'!C$66)*('INV500 '!$C$3:$C$501=31)*('INV500 '!$O$3:$O$501&lt;&gt;"M")*1000)</f>
        <v>0</v>
      </c>
      <c r="D72" s="183">
        <f>SUMPRODUCT('INV500 '!$V$3:$V$501*('INV500 '!$T$3:$T$501&lt;='Investment Position'!D$66)*('INV500 '!$T$3:$T$501&gt;'Investment Position'!C$66)*('INV500 '!$C$3:$C$501=30)*1000)+SUMPRODUCT('INV500 '!$V$3:$V$501*('INV500 '!$T$3:$T$501&lt;='Investment Position'!D$66)*('INV500 '!$T$3:$T$501&gt;'Investment Position'!C$66)*('INV500 '!$C$3:$C$501=31)*1000)</f>
        <v>0</v>
      </c>
      <c r="E72" s="183">
        <f>SUMPRODUCT('INV500 '!$V$3:$V$501*('INV500 '!$T$3:$T$501&lt;='Investment Position'!E$66)*('INV500 '!$T$3:$T$501&gt;'Investment Position'!D$66)*('INV500 '!$C$3:$C$501=30)*1000)+SUMPRODUCT('INV500 '!$V$3:$V$501*('INV500 '!$T$3:$T$501&lt;='Investment Position'!E$66)*('INV500 '!$T$3:$T$501&gt;'Investment Position'!D$66)*('INV500 '!$C$3:$C$501=31)*1000)</f>
        <v>0</v>
      </c>
      <c r="F72" s="183">
        <f>SUMPRODUCT('INV500 '!$V$3:$V$501*('INV500 '!$T$3:$T$501&lt;='Investment Position'!F$66)*('INV500 '!$T$3:$T$501&gt;'Investment Position'!E$66)*('INV500 '!$C$3:$C$501=30)*1000)+SUMPRODUCT('INV500 '!$V$3:$V$501*('INV500 '!$T$3:$T$501&lt;='Investment Position'!F$66)*('INV500 '!$T$3:$T$501&gt;'Investment Position'!E$66)*('INV500 '!$C$3:$C$501=31)*1000)</f>
        <v>0</v>
      </c>
      <c r="G72" s="183">
        <f>SUMPRODUCT('INV500 '!$V$3:$V$501*('INV500 '!$T$3:$T$501&lt;='Investment Position'!G$66)*('INV500 '!$T$3:$T$501&gt;'Investment Position'!F$66)*('INV500 '!$C$3:$C$501=30)*1000)+SUMPRODUCT('INV500 '!$V$3:$V$501*('INV500 '!$T$3:$T$501&lt;='Investment Position'!G$66)*('INV500 '!$T$3:$T$501&gt;'Investment Position'!F$66)*('INV500 '!$C$3:$C$501=31)*1000)</f>
        <v>0</v>
      </c>
      <c r="H72" s="183">
        <f>SUMPRODUCT('INV500 '!$V$3:$V$501*('INV500 '!$T$3:$T$501&lt;='Investment Position'!H$66)*('INV500 '!$T$3:$T$501&gt;'Investment Position'!G$66)*('INV500 '!$C$3:$C$501=30)*1000)+SUMPRODUCT('INV500 '!$V$3:$V$501*('INV500 '!$T$3:$T$501&lt;='Investment Position'!H$66)*('INV500 '!$T$3:$T$501&gt;'Investment Position'!G$66)*('INV500 '!$C$3:$C$501=31)*1000)</f>
        <v>0</v>
      </c>
      <c r="I72" s="183">
        <f>SUMPRODUCT('INV500 '!$V$3:$V$501*('INV500 '!$T$3:$T$501&lt;='Investment Position'!I$66)*('INV500 '!$T$3:$T$501&gt;'Investment Position'!H$66)*('INV500 '!$C$3:$C$501=30)*1000)+SUMPRODUCT('INV500 '!$V$3:$V$501*('INV500 '!$T$3:$T$501&lt;='Investment Position'!I$66)*('INV500 '!$T$3:$T$501&gt;'Investment Position'!H$66)*('INV500 '!$C$3:$C$501=31)*1000)</f>
        <v>0</v>
      </c>
      <c r="J72" s="183">
        <f>SUMPRODUCT('INV500 '!$V$3:$V$501*('INV500 '!$T$3:$T$501&lt;='Investment Position'!J$66)*('INV500 '!$T$3:$T$501&gt;'Investment Position'!I$66)*('INV500 '!$C$3:$C$501=30)*1000)+SUMPRODUCT('INV500 '!$V$3:$V$501*('INV500 '!$T$3:$T$501&lt;='Investment Position'!J$66)*('INV500 '!$T$3:$T$501&gt;'Investment Position'!I$66)*('INV500 '!$C$3:$C$501=31)*1000)</f>
        <v>0</v>
      </c>
      <c r="K72" s="183">
        <f>SUMPRODUCT('INV500 '!$V$3:$V$501*('INV500 '!$T$3:$T$501&lt;='Investment Position'!K$66)*('INV500 '!$T$3:$T$501&gt;'Investment Position'!J$66)*('INV500 '!$C$3:$C$501=30)*1000)+SUMPRODUCT('INV500 '!$V$3:$V$501*('INV500 '!$T$3:$T$501&lt;='Investment Position'!K$66)*('INV500 '!$T$3:$T$501&gt;'Investment Position'!J$66)*('INV500 '!$C$3:$C$501=31)*1000)</f>
        <v>0</v>
      </c>
      <c r="L72" s="183">
        <f>SUMPRODUCT('INV500 '!$V$3:$V$501*('INV500 '!$T$3:$T$501&lt;='Investment Position'!L$66)*('INV500 '!$T$3:$T$501&gt;'Investment Position'!K$66)*('INV500 '!$C$3:$C$501=30)*1000)+SUMPRODUCT('INV500 '!$V$3:$V$501*('INV500 '!$T$3:$T$501&lt;='Investment Position'!L$66)*('INV500 '!$T$3:$T$501&gt;'Investment Position'!K$66)*('INV500 '!$C$3:$C$501=31)*1000)</f>
        <v>0</v>
      </c>
      <c r="M72" s="183">
        <f>SUMPRODUCT('INV500 '!$V$3:$V$501*('INV500 '!$T$3:$T$501&lt;='Investment Position'!M$66)*('INV500 '!$T$3:$T$501&gt;'Investment Position'!L$66)*('INV500 '!$C$3:$C$501=30)*1000)+SUMPRODUCT('INV500 '!$V$3:$V$501*('INV500 '!$T$3:$T$501&lt;='Investment Position'!M$66)*('INV500 '!$T$3:$T$501&gt;'Investment Position'!L$66)*('INV500 '!$C$3:$C$501=31)*1000)</f>
        <v>10000000</v>
      </c>
      <c r="N72" s="183">
        <f>SUMPRODUCT('INV500 '!$V$3:$V$501*('INV500 '!$T$3:$T$501&lt;='Investment Position'!N$66)*('INV500 '!$T$3:$T$501&gt;'Investment Position'!M$66)*('INV500 '!$C$3:$C$501=30)*1000)+SUMPRODUCT('INV500 '!$V$3:$V$501*('INV500 '!$T$3:$T$501&lt;='Investment Position'!N$66)*('INV500 '!$T$3:$T$501&gt;'Investment Position'!M$66)*('INV500 '!$C$3:$C$501=31)*1000)</f>
        <v>0</v>
      </c>
      <c r="O72" s="183">
        <f>SUMPRODUCT('INV500 '!$V$3:$V$501*('INV500 '!$T$3:$T$501&lt;='Investment Position'!O$66)*('INV500 '!$T$3:$T$501&gt;'Investment Position'!N$66)*('INV500 '!$C$3:$C$501=30)*1000)+SUMPRODUCT('INV500 '!$V$3:$V$501*('INV500 '!$T$3:$T$501&lt;='Investment Position'!O$66)*('INV500 '!$T$3:$T$501&gt;'Investment Position'!N$66)*('INV500 '!$C$3:$C$501=31)*1000)</f>
        <v>10000000</v>
      </c>
      <c r="P72" s="155">
        <f t="shared" si="13"/>
        <v>20000000</v>
      </c>
      <c r="Q72" s="64" t="b">
        <f t="shared" si="14"/>
        <v>1</v>
      </c>
    </row>
    <row r="73" spans="1:17">
      <c r="A73" s="153" t="s">
        <v>80</v>
      </c>
      <c r="B73" s="128">
        <v>76</v>
      </c>
      <c r="C73" s="183">
        <f>SUMPRODUCT('INV500 '!$V$3:$V$501*('INV500 '!$T$3:$T$501&lt;='Investment Position'!$C$66)*('INV500 '!$C$3:$C$501=$B73)*('INV500 '!$O$3:$O$501&lt;&gt;"M")*1000)</f>
        <v>0</v>
      </c>
      <c r="D73" s="183">
        <f>SUMPRODUCT('INV500 '!$V$3:$V$501*('INV500 '!$T$3:$T$501&lt;='Investment Position'!D$66)*(('INV500 '!$T$3:$T$501&gt;'Investment Position'!C$66)*('INV500 '!$C$3:$C$501=$B73)*('INV500 '!$O$3:$O$501&lt;&gt;"M")*1000))</f>
        <v>0</v>
      </c>
      <c r="E73" s="183">
        <f>SUMPRODUCT('INV500 '!$V$3:$V$501*('INV500 '!$T$3:$T$501&lt;='Investment Position'!E$66)*(('INV500 '!$T$3:$T$501&gt;'Investment Position'!D$66)*('INV500 '!$C$3:$C$501=$B$73)*('INV500 '!$O$3:$O$501&lt;&gt;"M")*1000))</f>
        <v>0</v>
      </c>
      <c r="F73" s="183">
        <f>SUMPRODUCT('INV500 '!$V$3:$V$501*('INV500 '!$T$3:$T$501&lt;='Investment Position'!F$66)*(('INV500 '!$T$3:$T$501&gt;'Investment Position'!E$66)*('INV500 '!$C$3:$C$501=$B$73)*('INV500 '!$O$3:$O$501&lt;&gt;"M")*1000))</f>
        <v>0</v>
      </c>
      <c r="G73" s="183">
        <f>SUMPRODUCT('INV500 '!$V$3:$V$501*('INV500 '!$T$3:$T$501&lt;='Investment Position'!G$66)*(('INV500 '!$T$3:$T$501&gt;'Investment Position'!F$66)*('INV500 '!$C$3:$C$501=$B$73)*('INV500 '!$O$3:$O$501&lt;&gt;"M")*1000))</f>
        <v>0</v>
      </c>
      <c r="H73" s="183">
        <f>SUMPRODUCT('INV500 '!$V$3:$V$501*('INV500 '!$T$3:$T$501&lt;='Investment Position'!H$66)*(('INV500 '!$T$3:$T$501&gt;'Investment Position'!G$66)*('INV500 '!$C$3:$C$501=$B$73)*('INV500 '!$O$3:$O$501&lt;&gt;"M")*1000))</f>
        <v>0</v>
      </c>
      <c r="I73" s="183">
        <f>SUMPRODUCT('INV500 '!$V$3:$V$501*('INV500 '!$T$3:$T$501&lt;='Investment Position'!I$66)*(('INV500 '!$T$3:$T$501&gt;'Investment Position'!H$66)*('INV500 '!$C$3:$C$501=$B$73)*('INV500 '!$O$3:$O$501&lt;&gt;"M")*1000))</f>
        <v>0</v>
      </c>
      <c r="J73" s="183">
        <f>SUMPRODUCT('INV500 '!$V$3:$V$501*('INV500 '!$T$3:$T$501&lt;='Investment Position'!J$66)*(('INV500 '!$T$3:$T$501&gt;'Investment Position'!I$66)*('INV500 '!$C$3:$C$501=$B$73)*('INV500 '!$O$3:$O$501&lt;&gt;"M")*1000))</f>
        <v>0</v>
      </c>
      <c r="K73" s="183">
        <f>SUMPRODUCT('INV500 '!$V$3:$V$501*('INV500 '!$T$3:$T$501&lt;='Investment Position'!K$66)*(('INV500 '!$T$3:$T$501&gt;'Investment Position'!J$66)*('INV500 '!$C$3:$C$501=$B$73)*('INV500 '!$O$3:$O$501&lt;&gt;"M")*1000))</f>
        <v>0</v>
      </c>
      <c r="L73" s="183">
        <f>SUMPRODUCT('INV500 '!$V$3:$V$501*('INV500 '!$T$3:$T$501&lt;='Investment Position'!L$66)*(('INV500 '!$T$3:$T$501&gt;'Investment Position'!K$66)*('INV500 '!$C$3:$C$501=$B$73)*('INV500 '!$O$3:$O$501&lt;&gt;"M")*1000))</f>
        <v>0</v>
      </c>
      <c r="M73" s="183">
        <f>SUMPRODUCT('INV500 '!$V$3:$V$501*('INV500 '!$T$3:$T$501&lt;='Investment Position'!M$66)*(('INV500 '!$T$3:$T$501&gt;'Investment Position'!L$66)*('INV500 '!$C$3:$C$501=$B$73)*('INV500 '!$O$3:$O$501&lt;&gt;"M")*1000))</f>
        <v>0</v>
      </c>
      <c r="N73" s="183">
        <f>SUMPRODUCT('INV500 '!$V$3:$V$501*('INV500 '!$T$3:$T$501&lt;='Investment Position'!N$66)*(('INV500 '!$T$3:$T$501&gt;'Investment Position'!M$66)*('INV500 '!$C$3:$C$501=$B$73)*('INV500 '!$O$3:$O$501&lt;&gt;"M")*1000))</f>
        <v>0</v>
      </c>
      <c r="O73" s="183">
        <f>SUMPRODUCT('INV500 '!$V$3:$V$501*('INV500 '!$T$3:$T$501&lt;='Investment Position'!O$66)*(('INV500 '!$T$3:$T$501&gt;'Investment Position'!N$66)*('INV500 '!$C$3:$C$501=$B$73)*('INV500 '!$O$3:$O$501&lt;&gt;"M")*1000))</f>
        <v>0</v>
      </c>
      <c r="P73" s="155">
        <f t="shared" si="13"/>
        <v>0</v>
      </c>
      <c r="Q73" s="64" t="b">
        <f t="shared" si="14"/>
        <v>1</v>
      </c>
    </row>
    <row r="74" spans="1:17">
      <c r="A74" s="153" t="s">
        <v>105</v>
      </c>
      <c r="B74" s="128">
        <v>77</v>
      </c>
      <c r="C74" s="183">
        <f>SUMPRODUCT('INV500 '!$V$3:$V$501*('INV500 '!$T$3:$T$501&lt;='Investment Position'!$C$66)*('INV500 '!$C$3:$C$501=$B74)*('INV500 '!$O$3:$O$501&lt;&gt;"M")*1000)</f>
        <v>0</v>
      </c>
      <c r="D74" s="183">
        <f>SUMPRODUCT('INV500 '!$V$3:$V$501*('INV500 '!$T$3:$T$501&lt;='Investment Position'!D$66)*(('INV500 '!$T$3:$T$501&gt;'Investment Position'!C$66)*('INV500 '!$C$3:$C$501=$B74)*('INV500 '!$O$3:$O$501&lt;&gt;"M")*1000))</f>
        <v>0</v>
      </c>
      <c r="E74" s="183">
        <f>SUMPRODUCT('INV500 '!$V$3:$V$501*('INV500 '!$T$3:$T$501&lt;='Investment Position'!E$66)*(('INV500 '!$T$3:$T$501&gt;'Investment Position'!D$66)*('INV500 '!$C$3:$C$501=$B$73)*('INV500 '!$O$3:$O$501&lt;&gt;"M")*1000))</f>
        <v>0</v>
      </c>
      <c r="F74" s="183">
        <f>SUMPRODUCT('INV500 '!$V$3:$V$501*('INV500 '!$T$3:$T$501&lt;='Investment Position'!F$66)*(('INV500 '!$T$3:$T$501&gt;'Investment Position'!E$66)*('INV500 '!$C$3:$C$501=$B$73)*('INV500 '!$O$3:$O$501&lt;&gt;"M")*1000))</f>
        <v>0</v>
      </c>
      <c r="G74" s="183">
        <f>SUMPRODUCT('INV500 '!$V$3:$V$501*('INV500 '!$T$3:$T$501&lt;='Investment Position'!G$66)*(('INV500 '!$T$3:$T$501&gt;'Investment Position'!F$66)*('INV500 '!$C$3:$C$501=$B$73)*('INV500 '!$O$3:$O$501&lt;&gt;"M")*1000))</f>
        <v>0</v>
      </c>
      <c r="H74" s="183">
        <f>SUMPRODUCT('INV500 '!$V$3:$V$501*('INV500 '!$T$3:$T$501&lt;='Investment Position'!H$66)*(('INV500 '!$T$3:$T$501&gt;'Investment Position'!G$66)*('INV500 '!$C$3:$C$501=$B$73)*('INV500 '!$O$3:$O$501&lt;&gt;"M")*1000))</f>
        <v>0</v>
      </c>
      <c r="I74" s="183">
        <f>SUMPRODUCT('INV500 '!$V$3:$V$501*('INV500 '!$T$3:$T$501&lt;='Investment Position'!I$66)*(('INV500 '!$T$3:$T$501&gt;'Investment Position'!H$66)*('INV500 '!$C$3:$C$501=$B$73)*('INV500 '!$O$3:$O$501&lt;&gt;"M")*1000))</f>
        <v>0</v>
      </c>
      <c r="J74" s="183">
        <f>SUMPRODUCT('INV500 '!$V$3:$V$501*('INV500 '!$T$3:$T$501&lt;='Investment Position'!J$66)*(('INV500 '!$T$3:$T$501&gt;'Investment Position'!I$66)*('INV500 '!$C$3:$C$501=$B$73)*('INV500 '!$O$3:$O$501&lt;&gt;"M")*1000))</f>
        <v>0</v>
      </c>
      <c r="K74" s="183">
        <f>SUMPRODUCT('INV500 '!$V$3:$V$501*('INV500 '!$T$3:$T$501&lt;='Investment Position'!K$66)*(('INV500 '!$T$3:$T$501&gt;'Investment Position'!J$66)*('INV500 '!$C$3:$C$501=$B$73)*('INV500 '!$O$3:$O$501&lt;&gt;"M")*1000))</f>
        <v>0</v>
      </c>
      <c r="L74" s="183">
        <f>SUMPRODUCT('INV500 '!$V$3:$V$501*('INV500 '!$T$3:$T$501&lt;='Investment Position'!L$66)*(('INV500 '!$T$3:$T$501&gt;'Investment Position'!K$66)*('INV500 '!$C$3:$C$501=$B$73)*('INV500 '!$O$3:$O$501&lt;&gt;"M")*1000))</f>
        <v>0</v>
      </c>
      <c r="M74" s="183">
        <f>SUMPRODUCT('INV500 '!$V$3:$V$501*('INV500 '!$T$3:$T$501&lt;='Investment Position'!M$66)*(('INV500 '!$T$3:$T$501&gt;'Investment Position'!L$66)*('INV500 '!$C$3:$C$501=$B$73)*('INV500 '!$O$3:$O$501&lt;&gt;"M")*1000))</f>
        <v>0</v>
      </c>
      <c r="N74" s="183">
        <f>SUMPRODUCT('INV500 '!$V$3:$V$501*('INV500 '!$T$3:$T$501&lt;='Investment Position'!N$66)*(('INV500 '!$T$3:$T$501&gt;'Investment Position'!M$66)*('INV500 '!$C$3:$C$501=$B$73)*('INV500 '!$O$3:$O$501&lt;&gt;"M")*1000))</f>
        <v>0</v>
      </c>
      <c r="O74" s="183">
        <f>SUMPRODUCT('INV500 '!$V$3:$V$501*('INV500 '!$T$3:$T$501&lt;='Investment Position'!O$66)*(('INV500 '!$T$3:$T$501&gt;'Investment Position'!N$66)*('INV500 '!$C$3:$C$501=$B$73)*('INV500 '!$O$3:$O$501&lt;&gt;"M")*1000))</f>
        <v>0</v>
      </c>
      <c r="P74" s="155">
        <f t="shared" ref="P74" si="15">SUM(C74:O74)</f>
        <v>0</v>
      </c>
      <c r="Q74" s="64" t="b">
        <f t="shared" si="14"/>
        <v>1</v>
      </c>
    </row>
    <row r="75" spans="1:17">
      <c r="A75" s="153" t="s">
        <v>79</v>
      </c>
      <c r="B75" s="128">
        <v>95</v>
      </c>
      <c r="C75" s="183">
        <f>SUMPRODUCT('INV500 '!$V$3:$V$501*('INV500 '!$T$3:$T$501&lt;='Investment Position'!$C$66)*('INV500 '!$C$3:$C$501=$B75)*('INV500 '!$O$3:$O$501&lt;&gt;"M")*1000)</f>
        <v>0</v>
      </c>
      <c r="D75" s="183">
        <f>SUMPRODUCT('INV500 '!$V$3:$V$501*('INV500 '!$T$3:$T$501&lt;='Investment Position'!D$66)*(('INV500 '!$T$3:$T$501&gt;'Investment Position'!C$66)*('INV500 '!$C$3:$C$501=$B75)*('INV500 '!$O$3:$O$501&lt;&gt;"M")*1000))</f>
        <v>0</v>
      </c>
      <c r="E75" s="183">
        <f>SUMPRODUCT('INV500 '!$V$3:$V$501*('INV500 '!$T$3:$T$501&lt;='Investment Position'!E$66)*(('INV500 '!$T$3:$T$501&gt;'Investment Position'!D$66)*('INV500 '!$C$3:$C$501=$B75)*('INV500 '!$O$3:$O$501&lt;&gt;"M")*1000))</f>
        <v>0</v>
      </c>
      <c r="F75" s="183">
        <f>SUMPRODUCT('INV500 '!$V$3:$V$501*('INV500 '!$T$3:$T$501&lt;='Investment Position'!F$66)*(('INV500 '!$T$3:$T$501&gt;'Investment Position'!E$66)*('INV500 '!$C$3:$C$501=$B75)*('INV500 '!$O$3:$O$501&lt;&gt;"M")*1000))</f>
        <v>0</v>
      </c>
      <c r="G75" s="183">
        <f>SUMPRODUCT('INV500 '!$V$3:$V$501*('INV500 '!$T$3:$T$501&lt;='Investment Position'!G$66)*(('INV500 '!$T$3:$T$501&gt;'Investment Position'!F$66)*('INV500 '!$C$3:$C$501=$B75)*('INV500 '!$O$3:$O$501&lt;&gt;"M")*1000))</f>
        <v>0</v>
      </c>
      <c r="H75" s="187">
        <f>SUMPRODUCT('INV500 '!$V$3:$V$501*('INV500 '!$T$3:$T$501&lt;='Investment Position'!H$66)*(('INV500 '!$T$3:$T$501&gt;'Investment Position'!G$66)*('INV500 '!$C$3:$C$501=$B75)*('INV500 '!$O$3:$O$501&lt;&gt;"M")*1000))</f>
        <v>0</v>
      </c>
      <c r="I75" s="187">
        <f>SUMPRODUCT('INV500 '!$V$3:$V$501*('INV500 '!$T$3:$T$501&lt;='Investment Position'!I$66)*(('INV500 '!$T$3:$T$501&gt;'Investment Position'!H$66)*('INV500 '!$C$3:$C$501=$B75)*('INV500 '!$O$3:$O$501&lt;&gt;"M")*1000))</f>
        <v>0</v>
      </c>
      <c r="J75" s="183">
        <f>SUMPRODUCT('INV500 '!$V$3:$V$501*('INV500 '!$T$3:$T$501&lt;='Investment Position'!J$66)*(('INV500 '!$T$3:$T$501&gt;'Investment Position'!I$66)*('INV500 '!$C$3:$C$501=$B75)*('INV500 '!$O$3:$O$501&lt;&gt;"M")*1000))</f>
        <v>0</v>
      </c>
      <c r="K75" s="183">
        <f>SUMPRODUCT('INV500 '!$V$3:$V$501*('INV500 '!$T$3:$T$501&lt;='Investment Position'!K$66)*(('INV500 '!$T$3:$T$501&gt;'Investment Position'!J$66)*('INV500 '!$C$3:$C$501=$B75)*('INV500 '!$O$3:$O$501&lt;&gt;"M")*1000))</f>
        <v>0</v>
      </c>
      <c r="L75" s="183">
        <f>SUMPRODUCT('INV500 '!$V$3:$V$501*('INV500 '!$T$3:$T$501&lt;='Investment Position'!L$66)*(('INV500 '!$T$3:$T$501&gt;'Investment Position'!K$66)*('INV500 '!$C$3:$C$501=$B75)*('INV500 '!$O$3:$O$501&lt;&gt;"M")*1000))</f>
        <v>0</v>
      </c>
      <c r="M75" s="183">
        <f>SUMPRODUCT('INV500 '!$V$3:$V$501*('INV500 '!$T$3:$T$501&lt;='Investment Position'!M$66)*(('INV500 '!$T$3:$T$501&gt;'Investment Position'!L$66)*('INV500 '!$C$3:$C$501=$B75)*('INV500 '!$O$3:$O$501&lt;&gt;"M")*1000))</f>
        <v>0</v>
      </c>
      <c r="N75" s="183">
        <f>SUMPRODUCT('INV500 '!$V$3:$V$501*('INV500 '!$T$3:$T$501&lt;='Investment Position'!N$66)*(('INV500 '!$T$3:$T$501&gt;'Investment Position'!M$66)*('INV500 '!$C$3:$C$501=$B75)*('INV500 '!$O$3:$O$501&lt;&gt;"M")*1000))</f>
        <v>10000000</v>
      </c>
      <c r="O75" s="183">
        <f>SUMPRODUCT('INV500 '!$V$3:$V$501*('INV500 '!$T$3:$T$501&lt;='Investment Position'!O$66)*(('INV500 '!$T$3:$T$501&gt;'Investment Position'!N$66)*('INV500 '!$C$3:$C$501=$B75)*('INV500 '!$O$3:$O$501&lt;&gt;"M")*1000))</f>
        <v>0</v>
      </c>
      <c r="P75" s="155">
        <f t="shared" si="13"/>
        <v>10000000</v>
      </c>
      <c r="Q75" s="64" t="b">
        <f t="shared" si="14"/>
        <v>1</v>
      </c>
    </row>
    <row r="76" spans="1:17">
      <c r="A76" s="153" t="s">
        <v>73</v>
      </c>
      <c r="B76" s="128">
        <v>40</v>
      </c>
      <c r="C76" s="183">
        <f>SUMPRODUCT('INV500 '!$V$3:$V$501*('INV500 '!$C$3:$C$501=$B76)*('INV500 '!$F$3:$F$501="REGULAR - IPTIP               ")*('INV500 '!$O$3:$O$501&lt;&gt;"M")*1000)</f>
        <v>543000000</v>
      </c>
      <c r="D76" s="183">
        <v>0</v>
      </c>
      <c r="E76" s="183">
        <v>0</v>
      </c>
      <c r="F76" s="183">
        <v>0</v>
      </c>
      <c r="G76" s="183">
        <v>0</v>
      </c>
      <c r="H76" s="187">
        <v>0</v>
      </c>
      <c r="I76" s="187">
        <v>0</v>
      </c>
      <c r="J76" s="183">
        <v>0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55">
        <f t="shared" si="13"/>
        <v>543000000</v>
      </c>
      <c r="Q76" s="64" t="b">
        <f t="shared" si="14"/>
        <v>1</v>
      </c>
    </row>
    <row r="77" spans="1:17">
      <c r="A77" s="156" t="s">
        <v>78</v>
      </c>
      <c r="B77" s="130" t="s">
        <v>125</v>
      </c>
      <c r="C77" s="191">
        <f>SUMPRODUCT('INV500 '!$V$3:$V$501*('INV500 '!$E$3:$E$501=51)*('INV500 '!$O$3:$O$501&lt;&gt;"M")*('INV500 '!$C$3:$C$501=50)*1000)+SUMPRODUCT('INV500 '!$V$3:$V$501*('INV500 '!$E$3:$E$501=78)*('INV500 '!$O$3:$O$501&lt;&gt;"M")*('INV500 '!$C$3:$C$501=50)*1000)+SUMPRODUCT('INV500 '!$V$3:$V$501*('INV500 '!$E$3:$E$501=80)*('INV500 '!$O$3:$O$501&lt;&gt;"M")*('INV500 '!$C$3:$C$501=50)*1000)</f>
        <v>500000000</v>
      </c>
      <c r="D77" s="191">
        <v>0</v>
      </c>
      <c r="E77" s="191">
        <v>0</v>
      </c>
      <c r="F77" s="191">
        <v>0</v>
      </c>
      <c r="G77" s="191">
        <v>0</v>
      </c>
      <c r="H77" s="192">
        <v>0</v>
      </c>
      <c r="I77" s="192">
        <v>0</v>
      </c>
      <c r="J77" s="191">
        <v>0</v>
      </c>
      <c r="K77" s="191">
        <v>0</v>
      </c>
      <c r="L77" s="191">
        <v>0</v>
      </c>
      <c r="M77" s="191">
        <v>0</v>
      </c>
      <c r="N77" s="191">
        <v>0</v>
      </c>
      <c r="O77" s="191">
        <v>0</v>
      </c>
      <c r="P77" s="157">
        <f t="shared" si="13"/>
        <v>500000000</v>
      </c>
      <c r="Q77" s="64" t="b">
        <f t="shared" si="14"/>
        <v>1</v>
      </c>
    </row>
    <row r="78" spans="1:17">
      <c r="A78" s="158" t="s">
        <v>44</v>
      </c>
      <c r="B78" s="132"/>
      <c r="C78" s="133">
        <f t="shared" ref="C78:H78" si="16">SUM(C68:C77)</f>
        <v>2909525000</v>
      </c>
      <c r="D78" s="133">
        <f t="shared" si="16"/>
        <v>1155000000</v>
      </c>
      <c r="E78" s="133">
        <f t="shared" si="16"/>
        <v>994000000</v>
      </c>
      <c r="F78" s="133">
        <f t="shared" si="16"/>
        <v>160000000</v>
      </c>
      <c r="G78" s="133">
        <f t="shared" si="16"/>
        <v>1095000000</v>
      </c>
      <c r="H78" s="159">
        <f t="shared" si="16"/>
        <v>350000000</v>
      </c>
      <c r="I78" s="159">
        <f>SUM(I68:J77)</f>
        <v>636000000</v>
      </c>
      <c r="J78" s="160">
        <f t="shared" ref="J78:P78" si="17">SUM(J68:J77)</f>
        <v>66000000</v>
      </c>
      <c r="K78" s="160">
        <f t="shared" si="17"/>
        <v>200000000</v>
      </c>
      <c r="L78" s="160">
        <f t="shared" si="17"/>
        <v>200000000</v>
      </c>
      <c r="M78" s="160">
        <f t="shared" si="17"/>
        <v>256000000</v>
      </c>
      <c r="N78" s="160">
        <f t="shared" si="17"/>
        <v>460002000</v>
      </c>
      <c r="O78" s="160">
        <f t="shared" si="17"/>
        <v>510000000</v>
      </c>
      <c r="P78" s="154">
        <f t="shared" si="17"/>
        <v>8925527000</v>
      </c>
    </row>
    <row r="79" spans="1:17" ht="15.75" thickBot="1">
      <c r="A79" s="161" t="s">
        <v>77</v>
      </c>
      <c r="B79" s="137"/>
      <c r="C79" s="138">
        <f t="shared" ref="C79:O79" si="18">C78/$P$78</f>
        <v>0.32597795065770346</v>
      </c>
      <c r="D79" s="138">
        <f t="shared" si="18"/>
        <v>0.1294041237004829</v>
      </c>
      <c r="E79" s="138">
        <f t="shared" si="18"/>
        <v>0.11136597312405194</v>
      </c>
      <c r="F79" s="138">
        <f t="shared" si="18"/>
        <v>1.7926112374092869E-2</v>
      </c>
      <c r="G79" s="138">
        <f t="shared" si="18"/>
        <v>0.12268183156019807</v>
      </c>
      <c r="H79" s="162">
        <f t="shared" si="18"/>
        <v>3.9213370818328153E-2</v>
      </c>
      <c r="I79" s="162">
        <f t="shared" si="18"/>
        <v>7.1256296687019147E-2</v>
      </c>
      <c r="J79" s="163">
        <f t="shared" si="18"/>
        <v>7.3945213543133081E-3</v>
      </c>
      <c r="K79" s="163">
        <f t="shared" si="18"/>
        <v>2.2407640467616084E-2</v>
      </c>
      <c r="L79" s="163">
        <f t="shared" si="18"/>
        <v>2.2407640467616084E-2</v>
      </c>
      <c r="M79" s="163">
        <f t="shared" si="18"/>
        <v>2.8681779798548589E-2</v>
      </c>
      <c r="N79" s="163">
        <f t="shared" si="18"/>
        <v>5.1537797151921673E-2</v>
      </c>
      <c r="O79" s="163">
        <f t="shared" si="18"/>
        <v>5.7139483192421021E-2</v>
      </c>
      <c r="P79" s="164">
        <f>P78/(C37+D37)</f>
        <v>1</v>
      </c>
    </row>
    <row r="80" spans="1:17" ht="15.75" thickBot="1">
      <c r="C80" s="165">
        <v>42826</v>
      </c>
      <c r="D80" s="165">
        <v>42856</v>
      </c>
      <c r="E80" s="165">
        <v>42887</v>
      </c>
      <c r="F80" s="165">
        <v>42917</v>
      </c>
      <c r="G80" s="165">
        <v>42948</v>
      </c>
      <c r="H80" s="165">
        <v>42979</v>
      </c>
      <c r="I80" s="165">
        <v>43009</v>
      </c>
      <c r="J80" s="165">
        <v>43040</v>
      </c>
      <c r="K80" s="165">
        <v>43070</v>
      </c>
      <c r="L80" s="165">
        <v>43101</v>
      </c>
      <c r="M80" s="165">
        <v>43132</v>
      </c>
      <c r="N80" s="165">
        <v>43160</v>
      </c>
      <c r="O80" s="165">
        <v>43191</v>
      </c>
      <c r="P80" s="166"/>
    </row>
    <row r="81" spans="1:16">
      <c r="A81" s="167" t="s">
        <v>76</v>
      </c>
      <c r="B81" s="168"/>
      <c r="C81" s="169">
        <v>1273000000</v>
      </c>
      <c r="D81" s="169">
        <v>1172000000</v>
      </c>
      <c r="E81" s="169">
        <v>1396000000</v>
      </c>
      <c r="F81" s="169">
        <v>1400000000</v>
      </c>
      <c r="G81" s="169">
        <v>1372000000</v>
      </c>
      <c r="H81" s="169">
        <v>1219000000</v>
      </c>
      <c r="I81" s="169">
        <v>1173000000</v>
      </c>
      <c r="J81" s="169">
        <v>1167000000</v>
      </c>
      <c r="K81" s="169">
        <v>1388000000</v>
      </c>
      <c r="L81" s="169">
        <v>1451000000</v>
      </c>
      <c r="M81" s="169">
        <v>1232000000</v>
      </c>
      <c r="N81" s="169">
        <v>2135000000</v>
      </c>
      <c r="O81" s="169">
        <v>1250000000</v>
      </c>
      <c r="P81" s="170"/>
    </row>
    <row r="82" spans="1:16">
      <c r="A82" s="129" t="s">
        <v>75</v>
      </c>
      <c r="B82" s="75"/>
      <c r="C82" s="171">
        <v>1026300000</v>
      </c>
      <c r="D82" s="171">
        <v>675000000</v>
      </c>
      <c r="E82" s="171">
        <v>999000000</v>
      </c>
      <c r="F82" s="171">
        <v>575000000</v>
      </c>
      <c r="G82" s="171">
        <v>605000000</v>
      </c>
      <c r="H82" s="171">
        <v>595000000</v>
      </c>
      <c r="I82" s="171">
        <v>275000000</v>
      </c>
      <c r="J82" s="171">
        <v>141000000</v>
      </c>
      <c r="K82" s="171">
        <v>250000000</v>
      </c>
      <c r="L82" s="171">
        <v>246000000</v>
      </c>
      <c r="M82" s="171">
        <v>450000000</v>
      </c>
      <c r="N82" s="171">
        <v>325000000</v>
      </c>
      <c r="O82" s="171">
        <v>100000000</v>
      </c>
      <c r="P82" s="172"/>
    </row>
    <row r="83" spans="1:16" ht="15.75" thickBot="1">
      <c r="A83" s="173" t="s">
        <v>74</v>
      </c>
      <c r="B83" s="174"/>
      <c r="C83" s="175">
        <f t="shared" ref="C83:M83" si="19">C81-C82</f>
        <v>246700000</v>
      </c>
      <c r="D83" s="175">
        <f t="shared" si="19"/>
        <v>497000000</v>
      </c>
      <c r="E83" s="175">
        <f t="shared" si="19"/>
        <v>397000000</v>
      </c>
      <c r="F83" s="175">
        <f t="shared" si="19"/>
        <v>825000000</v>
      </c>
      <c r="G83" s="175">
        <f t="shared" si="19"/>
        <v>767000000</v>
      </c>
      <c r="H83" s="175">
        <f t="shared" si="19"/>
        <v>624000000</v>
      </c>
      <c r="I83" s="175">
        <f t="shared" si="19"/>
        <v>898000000</v>
      </c>
      <c r="J83" s="175">
        <f t="shared" si="19"/>
        <v>1026000000</v>
      </c>
      <c r="K83" s="175">
        <f t="shared" si="19"/>
        <v>1138000000</v>
      </c>
      <c r="L83" s="175">
        <f t="shared" si="19"/>
        <v>1205000000</v>
      </c>
      <c r="M83" s="175">
        <f t="shared" si="19"/>
        <v>782000000</v>
      </c>
      <c r="N83" s="175">
        <f t="shared" ref="N83:O83" si="20">N81-N82</f>
        <v>1810000000</v>
      </c>
      <c r="O83" s="175">
        <f t="shared" si="20"/>
        <v>1150000000</v>
      </c>
      <c r="P83" s="176"/>
    </row>
    <row r="109" spans="1:10" ht="15.75" thickBot="1"/>
    <row r="110" spans="1:10">
      <c r="A110" s="167"/>
      <c r="B110" s="168"/>
      <c r="C110" s="194" t="s">
        <v>95</v>
      </c>
      <c r="D110" s="118" t="s">
        <v>102</v>
      </c>
      <c r="E110" s="177" t="s">
        <v>101</v>
      </c>
      <c r="F110" s="177" t="s">
        <v>100</v>
      </c>
      <c r="G110" s="120" t="s">
        <v>99</v>
      </c>
      <c r="H110" s="177" t="s">
        <v>98</v>
      </c>
      <c r="I110" s="143" t="s">
        <v>97</v>
      </c>
    </row>
    <row r="111" spans="1:10">
      <c r="A111" s="85" t="s">
        <v>232</v>
      </c>
      <c r="B111" s="71"/>
      <c r="C111" s="195">
        <f>SUM(C112:C121)</f>
        <v>2909525000</v>
      </c>
      <c r="D111" s="196">
        <f t="shared" ref="D111:H111" si="21">SUM(D112:D121)</f>
        <v>6016002000</v>
      </c>
      <c r="E111" s="196">
        <f t="shared" si="21"/>
        <v>902501000</v>
      </c>
      <c r="F111" s="196">
        <f t="shared" si="21"/>
        <v>575507000</v>
      </c>
      <c r="G111" s="196">
        <f t="shared" si="21"/>
        <v>95415000</v>
      </c>
      <c r="H111" s="196">
        <f t="shared" si="21"/>
        <v>327630000</v>
      </c>
      <c r="I111" s="209">
        <f>SUM(C111:H111)</f>
        <v>10826580000</v>
      </c>
      <c r="J111" s="205">
        <f>I111-C122</f>
        <v>9326580000</v>
      </c>
    </row>
    <row r="112" spans="1:10" hidden="1" outlineLevel="1">
      <c r="A112" s="85" t="s">
        <v>72</v>
      </c>
      <c r="B112" s="71"/>
      <c r="C112" s="197">
        <f>C27</f>
        <v>1490225000</v>
      </c>
      <c r="D112" s="198">
        <f t="shared" ref="D112:H112" si="22">D27</f>
        <v>0</v>
      </c>
      <c r="E112" s="198">
        <f t="shared" si="22"/>
        <v>0</v>
      </c>
      <c r="F112" s="198">
        <f t="shared" si="22"/>
        <v>0</v>
      </c>
      <c r="G112" s="198">
        <f t="shared" si="22"/>
        <v>0</v>
      </c>
      <c r="H112" s="198">
        <f t="shared" si="22"/>
        <v>0</v>
      </c>
      <c r="I112" s="209">
        <f t="shared" ref="I112:I121" si="23">SUM(C112:H112)</f>
        <v>1490225000</v>
      </c>
    </row>
    <row r="113" spans="1:9" hidden="1" outlineLevel="1">
      <c r="A113" s="85" t="s">
        <v>34</v>
      </c>
      <c r="B113" s="71"/>
      <c r="C113" s="197">
        <f t="shared" ref="C113:H121" si="24">C28</f>
        <v>376300000</v>
      </c>
      <c r="D113" s="198">
        <f t="shared" si="24"/>
        <v>2590000000</v>
      </c>
      <c r="E113" s="198">
        <f t="shared" si="24"/>
        <v>0</v>
      </c>
      <c r="F113" s="198">
        <f t="shared" si="24"/>
        <v>0</v>
      </c>
      <c r="G113" s="198">
        <f t="shared" si="24"/>
        <v>0</v>
      </c>
      <c r="H113" s="198">
        <f t="shared" si="24"/>
        <v>0</v>
      </c>
      <c r="I113" s="209">
        <f t="shared" si="23"/>
        <v>2966300000</v>
      </c>
    </row>
    <row r="114" spans="1:9" hidden="1" outlineLevel="1">
      <c r="A114" s="85" t="s">
        <v>82</v>
      </c>
      <c r="B114" s="71"/>
      <c r="C114" s="197">
        <f t="shared" si="24"/>
        <v>0</v>
      </c>
      <c r="D114" s="198">
        <f t="shared" si="24"/>
        <v>2450000000</v>
      </c>
      <c r="E114" s="198">
        <f t="shared" si="24"/>
        <v>50000000</v>
      </c>
      <c r="F114" s="198">
        <f t="shared" si="24"/>
        <v>0</v>
      </c>
      <c r="G114" s="198">
        <f t="shared" si="24"/>
        <v>0</v>
      </c>
      <c r="H114" s="198">
        <f t="shared" si="24"/>
        <v>0</v>
      </c>
      <c r="I114" s="209">
        <f t="shared" si="23"/>
        <v>2500000000</v>
      </c>
    </row>
    <row r="115" spans="1:9" hidden="1" outlineLevel="1">
      <c r="A115" s="85" t="s">
        <v>81</v>
      </c>
      <c r="B115" s="71"/>
      <c r="C115" s="197">
        <f t="shared" si="24"/>
        <v>0</v>
      </c>
      <c r="D115" s="198">
        <f t="shared" si="24"/>
        <v>946002000</v>
      </c>
      <c r="E115" s="198">
        <f t="shared" si="24"/>
        <v>790001000</v>
      </c>
      <c r="F115" s="198">
        <f t="shared" si="24"/>
        <v>540007000</v>
      </c>
      <c r="G115" s="198">
        <f t="shared" si="24"/>
        <v>75005000</v>
      </c>
      <c r="H115" s="198">
        <f t="shared" si="24"/>
        <v>310035000</v>
      </c>
      <c r="I115" s="209">
        <f t="shared" si="23"/>
        <v>2661050000</v>
      </c>
    </row>
    <row r="116" spans="1:9" hidden="1" outlineLevel="1">
      <c r="A116" s="85" t="s">
        <v>68</v>
      </c>
      <c r="B116" s="71"/>
      <c r="C116" s="197">
        <f t="shared" si="24"/>
        <v>0</v>
      </c>
      <c r="D116" s="198">
        <f t="shared" si="24"/>
        <v>20000000</v>
      </c>
      <c r="E116" s="198">
        <f t="shared" si="24"/>
        <v>30000000</v>
      </c>
      <c r="F116" s="198">
        <f t="shared" si="24"/>
        <v>20000000</v>
      </c>
      <c r="G116" s="198">
        <f t="shared" si="24"/>
        <v>20000000</v>
      </c>
      <c r="H116" s="198">
        <f t="shared" si="24"/>
        <v>10000000</v>
      </c>
      <c r="I116" s="209">
        <f t="shared" si="23"/>
        <v>100000000</v>
      </c>
    </row>
    <row r="117" spans="1:9" hidden="1" outlineLevel="1">
      <c r="A117" s="85" t="s">
        <v>80</v>
      </c>
      <c r="B117" s="71"/>
      <c r="C117" s="197">
        <f t="shared" si="24"/>
        <v>0</v>
      </c>
      <c r="D117" s="198">
        <f t="shared" si="24"/>
        <v>0</v>
      </c>
      <c r="E117" s="198">
        <f t="shared" si="24"/>
        <v>0</v>
      </c>
      <c r="F117" s="198">
        <f t="shared" si="24"/>
        <v>0</v>
      </c>
      <c r="G117" s="198">
        <f t="shared" si="24"/>
        <v>410000</v>
      </c>
      <c r="H117" s="198">
        <f t="shared" si="24"/>
        <v>95000</v>
      </c>
      <c r="I117" s="209">
        <f t="shared" si="23"/>
        <v>505000</v>
      </c>
    </row>
    <row r="118" spans="1:9" hidden="1" outlineLevel="1">
      <c r="A118" s="85" t="s">
        <v>130</v>
      </c>
      <c r="B118" s="71"/>
      <c r="C118" s="197">
        <f t="shared" si="24"/>
        <v>0</v>
      </c>
      <c r="D118" s="198">
        <f t="shared" si="24"/>
        <v>0</v>
      </c>
      <c r="E118" s="198">
        <f t="shared" si="24"/>
        <v>12500000</v>
      </c>
      <c r="F118" s="198">
        <f t="shared" si="24"/>
        <v>5500000</v>
      </c>
      <c r="G118" s="198">
        <f t="shared" si="24"/>
        <v>0</v>
      </c>
      <c r="H118" s="198">
        <f t="shared" si="24"/>
        <v>7500000</v>
      </c>
      <c r="I118" s="209">
        <f t="shared" si="23"/>
        <v>25500000</v>
      </c>
    </row>
    <row r="119" spans="1:9" hidden="1" outlineLevel="1">
      <c r="A119" s="85" t="s">
        <v>79</v>
      </c>
      <c r="B119" s="71"/>
      <c r="C119" s="197">
        <f t="shared" si="24"/>
        <v>0</v>
      </c>
      <c r="D119" s="198">
        <f t="shared" si="24"/>
        <v>10000000</v>
      </c>
      <c r="E119" s="198">
        <f t="shared" si="24"/>
        <v>20000000</v>
      </c>
      <c r="F119" s="198">
        <f t="shared" si="24"/>
        <v>10000000</v>
      </c>
      <c r="G119" s="198">
        <f t="shared" si="24"/>
        <v>0</v>
      </c>
      <c r="H119" s="198">
        <f t="shared" si="24"/>
        <v>0</v>
      </c>
      <c r="I119" s="209">
        <f t="shared" si="23"/>
        <v>40000000</v>
      </c>
    </row>
    <row r="120" spans="1:9" hidden="1" outlineLevel="1">
      <c r="A120" s="85" t="s">
        <v>73</v>
      </c>
      <c r="B120" s="71"/>
      <c r="C120" s="197">
        <f t="shared" si="24"/>
        <v>543000000</v>
      </c>
      <c r="D120" s="198">
        <f t="shared" si="24"/>
        <v>0</v>
      </c>
      <c r="E120" s="198">
        <f t="shared" si="24"/>
        <v>0</v>
      </c>
      <c r="F120" s="198">
        <f t="shared" si="24"/>
        <v>0</v>
      </c>
      <c r="G120" s="198">
        <f t="shared" si="24"/>
        <v>0</v>
      </c>
      <c r="H120" s="198">
        <f t="shared" si="24"/>
        <v>0</v>
      </c>
      <c r="I120" s="209">
        <f t="shared" si="23"/>
        <v>543000000</v>
      </c>
    </row>
    <row r="121" spans="1:9" hidden="1" outlineLevel="1">
      <c r="A121" s="85" t="s">
        <v>78</v>
      </c>
      <c r="B121" s="71"/>
      <c r="C121" s="197">
        <f t="shared" si="24"/>
        <v>500000000</v>
      </c>
      <c r="D121" s="198">
        <f t="shared" si="24"/>
        <v>0</v>
      </c>
      <c r="E121" s="198">
        <f t="shared" si="24"/>
        <v>0</v>
      </c>
      <c r="F121" s="198">
        <f t="shared" si="24"/>
        <v>0</v>
      </c>
      <c r="G121" s="198">
        <f t="shared" si="24"/>
        <v>0</v>
      </c>
      <c r="H121" s="198">
        <f t="shared" si="24"/>
        <v>0</v>
      </c>
      <c r="I121" s="209">
        <f t="shared" si="23"/>
        <v>500000000</v>
      </c>
    </row>
    <row r="122" spans="1:9" ht="15.75" collapsed="1" thickBot="1">
      <c r="A122" s="173" t="s">
        <v>231</v>
      </c>
      <c r="B122" s="174"/>
      <c r="C122" s="207">
        <f>SUM(C123:C132)</f>
        <v>1500000000</v>
      </c>
      <c r="D122" s="208">
        <f>$J$111*0.42093</f>
        <v>3925837319.4000001</v>
      </c>
      <c r="E122" s="208">
        <f>$J$111*0.14854</f>
        <v>1385370193.2</v>
      </c>
      <c r="F122" s="208">
        <f>$J$111*0.14118</f>
        <v>1316726564.4000001</v>
      </c>
      <c r="G122" s="208">
        <f>$J$111*0.14525</f>
        <v>1354685745</v>
      </c>
      <c r="H122" s="208">
        <f>$J$111*0.1441</f>
        <v>1343960178</v>
      </c>
      <c r="I122" s="210">
        <f>SUM(C122:H122)</f>
        <v>10826580000</v>
      </c>
    </row>
    <row r="123" spans="1:9" hidden="1" outlineLevel="1">
      <c r="A123" s="85" t="s">
        <v>72</v>
      </c>
      <c r="B123" s="71"/>
      <c r="C123" s="197">
        <v>700000000</v>
      </c>
      <c r="D123" s="198">
        <v>0</v>
      </c>
      <c r="E123" s="198">
        <v>0</v>
      </c>
      <c r="F123" s="198">
        <v>0</v>
      </c>
      <c r="G123" s="198">
        <v>0</v>
      </c>
      <c r="H123" s="198">
        <v>0</v>
      </c>
      <c r="I123" s="202"/>
    </row>
    <row r="124" spans="1:9" hidden="1" outlineLevel="1">
      <c r="A124" s="85" t="s">
        <v>34</v>
      </c>
      <c r="B124" s="71"/>
      <c r="C124" s="197">
        <v>0</v>
      </c>
      <c r="D124" s="198">
        <f>$J$111*0.27552</f>
        <v>2569659321.5999999</v>
      </c>
      <c r="E124" s="198">
        <v>0</v>
      </c>
      <c r="F124" s="198">
        <v>0</v>
      </c>
      <c r="G124" s="198">
        <v>0</v>
      </c>
      <c r="H124" s="198">
        <v>0</v>
      </c>
      <c r="I124" s="202"/>
    </row>
    <row r="125" spans="1:9" hidden="1" outlineLevel="1">
      <c r="A125" s="85" t="s">
        <v>82</v>
      </c>
      <c r="B125" s="71"/>
      <c r="C125" s="197">
        <v>0</v>
      </c>
      <c r="D125" s="198">
        <f>$J$111*0.07698</f>
        <v>717960128.4000001</v>
      </c>
      <c r="E125" s="198">
        <f>$J$111*0.06842</f>
        <v>638124603.5999999</v>
      </c>
      <c r="F125" s="198">
        <f>$J$111*0.06247</f>
        <v>582631452.60000002</v>
      </c>
      <c r="G125" s="198">
        <f>$J$111*0.06557</f>
        <v>611543850.60000002</v>
      </c>
      <c r="H125" s="198">
        <f>$J$111*0.07052</f>
        <v>657710421.60000002</v>
      </c>
      <c r="I125" s="202"/>
    </row>
    <row r="126" spans="1:9" hidden="1" outlineLevel="1">
      <c r="A126" s="85" t="s">
        <v>81</v>
      </c>
      <c r="B126" s="71"/>
      <c r="C126" s="197">
        <v>0</v>
      </c>
      <c r="D126" s="198">
        <f>$J$111*0.06842</f>
        <v>638124603.5999999</v>
      </c>
      <c r="E126" s="198">
        <f>$J$111*0.06842</f>
        <v>638124603.5999999</v>
      </c>
      <c r="F126" s="198">
        <f>$J$111*0.07102</f>
        <v>662373711.60000002</v>
      </c>
      <c r="G126" s="198">
        <f>$J$111*0.07426</f>
        <v>692591830.80000007</v>
      </c>
      <c r="H126" s="198">
        <f>$J$111*0.06816</f>
        <v>635699692.79999995</v>
      </c>
      <c r="I126" s="202"/>
    </row>
    <row r="127" spans="1:9" hidden="1" outlineLevel="1">
      <c r="A127" s="85" t="s">
        <v>68</v>
      </c>
      <c r="B127" s="71"/>
      <c r="C127" s="197">
        <v>0</v>
      </c>
      <c r="D127" s="198">
        <v>0</v>
      </c>
      <c r="E127" s="198">
        <f>$J$111*0.0057</f>
        <v>53161506</v>
      </c>
      <c r="F127" s="198">
        <f>$J$111*0.00228</f>
        <v>21264602.399999999</v>
      </c>
      <c r="G127" s="198">
        <f>$J$111*0.00114</f>
        <v>10632301.199999999</v>
      </c>
      <c r="H127" s="198">
        <f>$J$111*0.00114</f>
        <v>10632301.199999999</v>
      </c>
      <c r="I127" s="202"/>
    </row>
    <row r="128" spans="1:9" hidden="1" outlineLevel="1">
      <c r="A128" s="85" t="s">
        <v>80</v>
      </c>
      <c r="B128" s="71"/>
      <c r="C128" s="197">
        <v>0</v>
      </c>
      <c r="D128" s="198">
        <v>0</v>
      </c>
      <c r="E128" s="198">
        <f>$J$111*0.00057</f>
        <v>5316150.5999999996</v>
      </c>
      <c r="F128" s="198">
        <f>$J$111*0.00114</f>
        <v>10632301.199999999</v>
      </c>
      <c r="G128" s="198">
        <f>$J$111*0.00114</f>
        <v>10632301.199999999</v>
      </c>
      <c r="H128" s="198">
        <f>$J$111*0.00114</f>
        <v>10632301.199999999</v>
      </c>
      <c r="I128" s="202"/>
    </row>
    <row r="129" spans="1:9" hidden="1" outlineLevel="1">
      <c r="A129" s="85" t="s">
        <v>130</v>
      </c>
      <c r="B129" s="71"/>
      <c r="C129" s="197">
        <v>0</v>
      </c>
      <c r="D129" s="198">
        <v>0</v>
      </c>
      <c r="E129" s="198">
        <f>$J$111*0.00314</f>
        <v>29285461.199999999</v>
      </c>
      <c r="F129" s="198">
        <f>$J$111*0.00314</f>
        <v>29285461.199999999</v>
      </c>
      <c r="G129" s="198">
        <f>$J$111*0.00314</f>
        <v>29285461.199999999</v>
      </c>
      <c r="H129" s="198">
        <f>$J$111*0.00314</f>
        <v>29285461.199999999</v>
      </c>
      <c r="I129" s="202"/>
    </row>
    <row r="130" spans="1:9" hidden="1" outlineLevel="1">
      <c r="A130" s="85" t="s">
        <v>79</v>
      </c>
      <c r="B130" s="71"/>
      <c r="C130" s="197">
        <v>0</v>
      </c>
      <c r="D130" s="198">
        <v>0</v>
      </c>
      <c r="E130" s="198">
        <f>$J$111*0.00228</f>
        <v>21264602.399999999</v>
      </c>
      <c r="F130" s="198">
        <f>$J$111*0.00114</f>
        <v>10632301.199999999</v>
      </c>
      <c r="G130" s="198">
        <v>0</v>
      </c>
      <c r="H130" s="198">
        <v>0</v>
      </c>
      <c r="I130" s="202"/>
    </row>
    <row r="131" spans="1:9" hidden="1" outlineLevel="1">
      <c r="A131" s="85" t="s">
        <v>73</v>
      </c>
      <c r="B131" s="71"/>
      <c r="C131" s="197">
        <v>500000000</v>
      </c>
      <c r="D131" s="198">
        <v>0</v>
      </c>
      <c r="E131" s="198">
        <v>0</v>
      </c>
      <c r="F131" s="198">
        <v>0</v>
      </c>
      <c r="G131" s="198">
        <v>0</v>
      </c>
      <c r="H131" s="198">
        <v>0</v>
      </c>
      <c r="I131" s="202"/>
    </row>
    <row r="132" spans="1:9" hidden="1" outlineLevel="1">
      <c r="A132" s="85" t="s">
        <v>78</v>
      </c>
      <c r="B132" s="71"/>
      <c r="C132" s="197">
        <v>300000000</v>
      </c>
      <c r="D132" s="198">
        <v>0</v>
      </c>
      <c r="E132" s="198">
        <v>0</v>
      </c>
      <c r="F132" s="198">
        <v>0</v>
      </c>
      <c r="G132" s="198">
        <v>0</v>
      </c>
      <c r="H132" s="198">
        <v>0</v>
      </c>
      <c r="I132" s="202"/>
    </row>
    <row r="133" spans="1:9" ht="15.75" collapsed="1" thickBot="1">
      <c r="A133" s="173" t="s">
        <v>233</v>
      </c>
      <c r="B133" s="174"/>
      <c r="C133" s="207">
        <f t="shared" ref="C133:D135" si="25">C122-C111</f>
        <v>-1409525000</v>
      </c>
      <c r="D133" s="208">
        <f t="shared" si="25"/>
        <v>-2090164680.5999999</v>
      </c>
      <c r="E133" s="208">
        <f t="shared" ref="E133:H133" si="26">E122-E111</f>
        <v>482869193.20000005</v>
      </c>
      <c r="F133" s="208">
        <f t="shared" si="26"/>
        <v>741219564.4000001</v>
      </c>
      <c r="G133" s="208">
        <f t="shared" si="26"/>
        <v>1259270745</v>
      </c>
      <c r="H133" s="208">
        <f t="shared" si="26"/>
        <v>1016330178</v>
      </c>
      <c r="I133" s="201"/>
    </row>
    <row r="134" spans="1:9" hidden="1" outlineLevel="1">
      <c r="A134" s="85" t="s">
        <v>72</v>
      </c>
      <c r="B134" s="71"/>
      <c r="C134" s="204">
        <f t="shared" si="25"/>
        <v>-790225000</v>
      </c>
      <c r="D134" s="203">
        <f t="shared" si="25"/>
        <v>0</v>
      </c>
      <c r="E134" s="203">
        <f t="shared" ref="E134:H134" si="27">E123-E112</f>
        <v>0</v>
      </c>
      <c r="F134" s="203">
        <f t="shared" si="27"/>
        <v>0</v>
      </c>
      <c r="G134" s="203">
        <f t="shared" si="27"/>
        <v>0</v>
      </c>
      <c r="H134" s="203">
        <f t="shared" si="27"/>
        <v>0</v>
      </c>
      <c r="I134" s="202"/>
    </row>
    <row r="135" spans="1:9" hidden="1" outlineLevel="1">
      <c r="A135" s="85" t="s">
        <v>34</v>
      </c>
      <c r="B135" s="71"/>
      <c r="C135" s="204">
        <f t="shared" si="25"/>
        <v>-376300000</v>
      </c>
      <c r="D135" s="203">
        <f t="shared" si="25"/>
        <v>-20340678.400000095</v>
      </c>
      <c r="E135" s="203">
        <f t="shared" ref="E135:H135" si="28">E124-E113</f>
        <v>0</v>
      </c>
      <c r="F135" s="203">
        <f t="shared" si="28"/>
        <v>0</v>
      </c>
      <c r="G135" s="203">
        <f t="shared" si="28"/>
        <v>0</v>
      </c>
      <c r="H135" s="203">
        <f t="shared" si="28"/>
        <v>0</v>
      </c>
      <c r="I135" s="202"/>
    </row>
    <row r="136" spans="1:9" hidden="1" outlineLevel="1">
      <c r="A136" s="85" t="s">
        <v>82</v>
      </c>
      <c r="B136" s="71"/>
      <c r="C136" s="204">
        <f t="shared" ref="C136:H143" si="29">C125-C114</f>
        <v>0</v>
      </c>
      <c r="D136" s="203">
        <f t="shared" si="29"/>
        <v>-1732039871.5999999</v>
      </c>
      <c r="E136" s="203">
        <f t="shared" si="29"/>
        <v>588124603.5999999</v>
      </c>
      <c r="F136" s="203">
        <f t="shared" si="29"/>
        <v>582631452.60000002</v>
      </c>
      <c r="G136" s="203">
        <f t="shared" si="29"/>
        <v>611543850.60000002</v>
      </c>
      <c r="H136" s="203">
        <f t="shared" si="29"/>
        <v>657710421.60000002</v>
      </c>
      <c r="I136" s="202"/>
    </row>
    <row r="137" spans="1:9" hidden="1" outlineLevel="1">
      <c r="A137" s="85" t="s">
        <v>81</v>
      </c>
      <c r="B137" s="71"/>
      <c r="C137" s="204">
        <f t="shared" si="29"/>
        <v>0</v>
      </c>
      <c r="D137" s="203">
        <f t="shared" si="29"/>
        <v>-307877396.4000001</v>
      </c>
      <c r="E137" s="203">
        <f t="shared" si="29"/>
        <v>-151876396.4000001</v>
      </c>
      <c r="F137" s="203">
        <f t="shared" si="29"/>
        <v>122366711.60000002</v>
      </c>
      <c r="G137" s="203">
        <f t="shared" si="29"/>
        <v>617586830.80000007</v>
      </c>
      <c r="H137" s="203">
        <f t="shared" si="29"/>
        <v>325664692.79999995</v>
      </c>
      <c r="I137" s="202"/>
    </row>
    <row r="138" spans="1:9" hidden="1" outlineLevel="1">
      <c r="A138" s="85" t="s">
        <v>68</v>
      </c>
      <c r="B138" s="71"/>
      <c r="C138" s="204">
        <f t="shared" si="29"/>
        <v>0</v>
      </c>
      <c r="D138" s="203">
        <f t="shared" si="29"/>
        <v>-20000000</v>
      </c>
      <c r="E138" s="203">
        <f t="shared" si="29"/>
        <v>23161506</v>
      </c>
      <c r="F138" s="203">
        <f t="shared" si="29"/>
        <v>1264602.3999999985</v>
      </c>
      <c r="G138" s="203">
        <f t="shared" si="29"/>
        <v>-9367698.8000000007</v>
      </c>
      <c r="H138" s="203">
        <f t="shared" si="29"/>
        <v>632301.19999999925</v>
      </c>
      <c r="I138" s="202"/>
    </row>
    <row r="139" spans="1:9" hidden="1" outlineLevel="1">
      <c r="A139" s="85" t="s">
        <v>80</v>
      </c>
      <c r="B139" s="71"/>
      <c r="C139" s="204">
        <f t="shared" si="29"/>
        <v>0</v>
      </c>
      <c r="D139" s="203">
        <f t="shared" si="29"/>
        <v>0</v>
      </c>
      <c r="E139" s="203">
        <f t="shared" si="29"/>
        <v>5316150.5999999996</v>
      </c>
      <c r="F139" s="203">
        <f t="shared" si="29"/>
        <v>10632301.199999999</v>
      </c>
      <c r="G139" s="203">
        <f t="shared" si="29"/>
        <v>10222301.199999999</v>
      </c>
      <c r="H139" s="203">
        <f t="shared" si="29"/>
        <v>10537301.199999999</v>
      </c>
      <c r="I139" s="202"/>
    </row>
    <row r="140" spans="1:9" hidden="1" outlineLevel="1">
      <c r="A140" s="85" t="s">
        <v>130</v>
      </c>
      <c r="B140" s="71"/>
      <c r="C140" s="204">
        <f t="shared" si="29"/>
        <v>0</v>
      </c>
      <c r="D140" s="203">
        <f t="shared" si="29"/>
        <v>0</v>
      </c>
      <c r="E140" s="203">
        <f t="shared" si="29"/>
        <v>16785461.199999999</v>
      </c>
      <c r="F140" s="203">
        <f t="shared" si="29"/>
        <v>23785461.199999999</v>
      </c>
      <c r="G140" s="203">
        <f t="shared" si="29"/>
        <v>29285461.199999999</v>
      </c>
      <c r="H140" s="203">
        <f t="shared" si="29"/>
        <v>21785461.199999999</v>
      </c>
      <c r="I140" s="202"/>
    </row>
    <row r="141" spans="1:9" hidden="1" outlineLevel="1">
      <c r="A141" s="85" t="s">
        <v>79</v>
      </c>
      <c r="B141" s="71"/>
      <c r="C141" s="204">
        <f t="shared" si="29"/>
        <v>0</v>
      </c>
      <c r="D141" s="203">
        <f t="shared" si="29"/>
        <v>-10000000</v>
      </c>
      <c r="E141" s="203">
        <f t="shared" si="29"/>
        <v>1264602.3999999985</v>
      </c>
      <c r="F141" s="203">
        <f t="shared" si="29"/>
        <v>632301.19999999925</v>
      </c>
      <c r="G141" s="203">
        <f t="shared" si="29"/>
        <v>0</v>
      </c>
      <c r="H141" s="203">
        <f t="shared" si="29"/>
        <v>0</v>
      </c>
      <c r="I141" s="202"/>
    </row>
    <row r="142" spans="1:9" hidden="1" outlineLevel="1">
      <c r="A142" s="85" t="s">
        <v>73</v>
      </c>
      <c r="B142" s="71"/>
      <c r="C142" s="204">
        <f t="shared" si="29"/>
        <v>-43000000</v>
      </c>
      <c r="D142" s="203">
        <f t="shared" si="29"/>
        <v>0</v>
      </c>
      <c r="E142" s="203">
        <f t="shared" si="29"/>
        <v>0</v>
      </c>
      <c r="F142" s="203">
        <f t="shared" si="29"/>
        <v>0</v>
      </c>
      <c r="G142" s="203">
        <f t="shared" si="29"/>
        <v>0</v>
      </c>
      <c r="H142" s="203">
        <f t="shared" si="29"/>
        <v>0</v>
      </c>
      <c r="I142" s="202"/>
    </row>
    <row r="143" spans="1:9" ht="15.75" hidden="1" outlineLevel="1" thickBot="1">
      <c r="A143" s="173" t="s">
        <v>78</v>
      </c>
      <c r="B143" s="174"/>
      <c r="C143" s="199">
        <f t="shared" si="29"/>
        <v>-200000000</v>
      </c>
      <c r="D143" s="200">
        <f t="shared" si="29"/>
        <v>0</v>
      </c>
      <c r="E143" s="200">
        <f t="shared" si="29"/>
        <v>0</v>
      </c>
      <c r="F143" s="200">
        <f t="shared" si="29"/>
        <v>0</v>
      </c>
      <c r="G143" s="200">
        <f t="shared" si="29"/>
        <v>0</v>
      </c>
      <c r="H143" s="206">
        <f t="shared" si="29"/>
        <v>0</v>
      </c>
      <c r="I143" s="201"/>
    </row>
    <row r="144" spans="1:9" collapsed="1"/>
  </sheetData>
  <mergeCells count="3">
    <mergeCell ref="E2:L2"/>
    <mergeCell ref="E3:L6"/>
    <mergeCell ref="A9:G9"/>
  </mergeCells>
  <conditionalFormatting sqref="J27:J36">
    <cfRule type="cellIs" dxfId="3" priority="2" operator="equal">
      <formula>TRUE</formula>
    </cfRule>
  </conditionalFormatting>
  <conditionalFormatting sqref="Q68:Q77">
    <cfRule type="cellIs" dxfId="2" priority="1" operator="equal">
      <formula>TRUE</formula>
    </cfRule>
  </conditionalFormatting>
  <pageMargins left="0.7" right="0.7" top="0.75" bottom="0.75" header="0.3" footer="0.3"/>
  <pageSetup scale="24" orientation="landscape" r:id="rId1"/>
  <rowBreaks count="1" manualBreakCount="1"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4"/>
  <sheetViews>
    <sheetView tabSelected="1" topLeftCell="A460" zoomScaleNormal="100" workbookViewId="0">
      <selection activeCell="D469" sqref="D469"/>
    </sheetView>
  </sheetViews>
  <sheetFormatPr defaultColWidth="15.7109375" defaultRowHeight="15.75" outlineLevelRow="1" outlineLevelCol="1"/>
  <cols>
    <col min="1" max="1" width="48.140625" style="211" customWidth="1"/>
    <col min="2" max="2" width="17.140625" style="217" hidden="1" customWidth="1" outlineLevel="1"/>
    <col min="3" max="3" width="15.7109375" style="216" customWidth="1" collapsed="1"/>
    <col min="4" max="4" width="29.42578125" style="215" customWidth="1"/>
    <col min="5" max="5" width="19.28515625" style="214" customWidth="1"/>
    <col min="6" max="6" width="21.85546875" style="214" customWidth="1" outlineLevel="1"/>
    <col min="7" max="7" width="19.28515625" style="214" customWidth="1" outlineLevel="1"/>
    <col min="8" max="8" width="23.5703125" style="213" customWidth="1" outlineLevel="1"/>
    <col min="9" max="10" width="9" style="212" customWidth="1" outlineLevel="1"/>
    <col min="11" max="11" width="15.7109375" style="211"/>
    <col min="12" max="12" width="21.85546875" style="211" bestFit="1" customWidth="1"/>
    <col min="13" max="16384" width="15.7109375" style="211"/>
  </cols>
  <sheetData>
    <row r="1" spans="1:15" ht="18">
      <c r="A1" s="437" t="s">
        <v>301</v>
      </c>
      <c r="B1" s="437"/>
      <c r="C1" s="437"/>
      <c r="D1" s="437"/>
      <c r="E1" s="437"/>
      <c r="F1" s="377"/>
      <c r="G1" s="377"/>
      <c r="K1" s="376">
        <v>42825</v>
      </c>
      <c r="L1" s="301" t="s">
        <v>72</v>
      </c>
      <c r="M1" s="214">
        <f>$G$5</f>
        <v>7.45288626615365E-3</v>
      </c>
      <c r="N1" s="301" t="s">
        <v>274</v>
      </c>
      <c r="O1" s="214">
        <f>G383</f>
        <v>1.4332700822264387E-2</v>
      </c>
    </row>
    <row r="2" spans="1:15">
      <c r="A2" s="438" t="str">
        <f>"For the " &amp; K2 &amp; " ended " &amp; TEXT($K$1,"MMMM DD, YYYY")</f>
        <v>For the month ended March 31, 2017</v>
      </c>
      <c r="B2" s="438"/>
      <c r="C2" s="438"/>
      <c r="D2" s="438"/>
      <c r="E2" s="438"/>
      <c r="F2" s="375"/>
      <c r="G2" s="375"/>
      <c r="H2" s="372"/>
      <c r="K2" s="374" t="s">
        <v>1076</v>
      </c>
      <c r="L2" s="301" t="s">
        <v>34</v>
      </c>
      <c r="M2" s="214">
        <f>$G$25</f>
        <v>1.0352344671813372E-2</v>
      </c>
      <c r="N2" s="301" t="s">
        <v>256</v>
      </c>
      <c r="O2" s="214">
        <f>G471</f>
        <v>6.0946914160211465E-3</v>
      </c>
    </row>
    <row r="3" spans="1:15">
      <c r="A3" s="300"/>
      <c r="B3" s="373"/>
      <c r="C3" s="300"/>
      <c r="D3" s="300"/>
      <c r="E3" s="300"/>
      <c r="F3" s="300"/>
      <c r="G3" s="300"/>
      <c r="H3" s="372"/>
      <c r="L3" s="301" t="s">
        <v>53</v>
      </c>
      <c r="M3" s="214" t="e">
        <f>$G$160</f>
        <v>#N/A</v>
      </c>
      <c r="N3" s="301" t="s">
        <v>73</v>
      </c>
      <c r="O3" s="214">
        <f>$G$472</f>
        <v>7.5300000000000002E-3</v>
      </c>
    </row>
    <row r="4" spans="1:15" ht="18">
      <c r="A4" s="436" t="s">
        <v>300</v>
      </c>
      <c r="B4" s="436"/>
      <c r="C4" s="436"/>
      <c r="D4" s="436"/>
      <c r="E4" s="436"/>
      <c r="F4" s="274"/>
      <c r="G4" s="274"/>
      <c r="H4" s="372"/>
      <c r="L4" s="301" t="s">
        <v>282</v>
      </c>
      <c r="M4" s="214" t="e">
        <f>$G$224</f>
        <v>#N/A</v>
      </c>
      <c r="O4" s="216"/>
    </row>
    <row r="5" spans="1:15">
      <c r="A5" s="273" t="s">
        <v>258</v>
      </c>
      <c r="B5" s="272" t="s">
        <v>299</v>
      </c>
      <c r="C5" s="300" t="s">
        <v>267</v>
      </c>
      <c r="D5" s="270" t="s">
        <v>257</v>
      </c>
      <c r="E5" s="299" t="s">
        <v>266</v>
      </c>
      <c r="F5" s="268" t="s">
        <v>72</v>
      </c>
      <c r="G5" s="371">
        <f>SUMIF(G6:G13,"&lt;&gt;#N/A",G6:G13)+SUMIF(G17:G19,"&lt;&gt;#N/A",G17:G19)</f>
        <v>7.45288626615365E-3</v>
      </c>
      <c r="L5" s="301" t="s">
        <v>298</v>
      </c>
      <c r="M5" s="214" t="e">
        <f>G349</f>
        <v>#N/A</v>
      </c>
      <c r="O5" s="216"/>
    </row>
    <row r="6" spans="1:15">
      <c r="A6" s="211" t="str">
        <f>VLOOKUP($B6,'INV500 '!$K$3:$U$1990,7,FALSE)</f>
        <v xml:space="preserve">HSBC SECURITIES               </v>
      </c>
      <c r="B6" s="416">
        <v>17033115</v>
      </c>
      <c r="C6" s="247">
        <f>VLOOKUP(B6,'INV500 '!$K$3:$T$1990,10,FALSE)</f>
        <v>42828</v>
      </c>
      <c r="D6" s="295">
        <f>SUMPRODUCT('INV500 '!$V$3:$V$1990*((WebPosting!B6='INV500 '!$K$3:$K$1990)*1000)*('INV500 '!$O$3:$O$1990&lt;&gt;"M")*('INV500 '!$C$3:$C$1990=10))</f>
        <v>900000000</v>
      </c>
      <c r="E6" s="214">
        <f>VLOOKUP($B6,'INV500 '!$K$3:$U$1990,11,FALSE)/100</f>
        <v>7.4999999999999997E-3</v>
      </c>
      <c r="G6" s="214">
        <f t="shared" ref="G6:G11" si="0">($D6*$E6)/($D$14+$D$21)</f>
        <v>3.7261731925299886E-3</v>
      </c>
      <c r="H6" s="360"/>
      <c r="I6" s="346"/>
      <c r="J6" s="346"/>
    </row>
    <row r="7" spans="1:15">
      <c r="A7" s="211" t="str">
        <f>VLOOKUP($B7,'INV500 '!$K$3:$U$1990,7,FALSE)</f>
        <v xml:space="preserve">NESBITT BURNS SECURITIES INC. </v>
      </c>
      <c r="B7" s="416">
        <v>17033121</v>
      </c>
      <c r="C7" s="247">
        <f>VLOOKUP(B7,'INV500 '!$K$3:$T$1990,10,FALSE)</f>
        <v>42828</v>
      </c>
      <c r="D7" s="295">
        <f>SUMPRODUCT('INV500 '!$V$3:$V$1990*((WebPosting!B7='INV500 '!$K$3:$K$1990)*1000)*('INV500 '!$O$3:$O$1990&lt;&gt;"M")*('INV500 '!$C$3:$C$1990=10))</f>
        <v>300000000</v>
      </c>
      <c r="E7" s="214">
        <f>VLOOKUP($B7,'INV500 '!$K$3:$U$1990,11,FALSE)/100</f>
        <v>7.7000000000000002E-3</v>
      </c>
      <c r="G7" s="214">
        <f t="shared" si="0"/>
        <v>1.2751792703324851E-3</v>
      </c>
      <c r="H7" s="360"/>
      <c r="I7" s="346"/>
      <c r="J7" s="346"/>
    </row>
    <row r="8" spans="1:15">
      <c r="A8" s="211" t="str">
        <f>VLOOKUP($B8,'INV500 '!$K$3:$U$1990,7,FALSE)</f>
        <v xml:space="preserve">NORTHERN TRUST COMPANY        </v>
      </c>
      <c r="B8" s="416">
        <v>17033129</v>
      </c>
      <c r="C8" s="247">
        <f>VLOOKUP(B8,'INV500 '!$K$3:$T$1990,10,FALSE)</f>
        <v>42828</v>
      </c>
      <c r="D8" s="295">
        <f>SUMPRODUCT('INV500 '!$V$3:$V$1990*((WebPosting!B8='INV500 '!$K$3:$K$1990)*1000)*('INV500 '!$O$3:$O$1990&lt;&gt;"M")*('INV500 '!$C$3:$C$1990=10))</f>
        <v>290225000</v>
      </c>
      <c r="E8" s="214">
        <f>VLOOKUP($B8,'INV500 '!$K$3:$U$1990,11,FALSE)/100</f>
        <v>6.9999999999999993E-3</v>
      </c>
      <c r="G8" s="214">
        <f t="shared" si="0"/>
        <v>1.1214815264613499E-3</v>
      </c>
      <c r="H8" s="360"/>
      <c r="I8" s="346"/>
      <c r="J8" s="346"/>
    </row>
    <row r="9" spans="1:15">
      <c r="A9" s="211" t="str">
        <f>VLOOKUP($B9,'INV500 '!$K$3:$U$1990,7,FALSE)</f>
        <v xml:space="preserve">NORTHERN TRUST COMPANY        </v>
      </c>
      <c r="B9" s="416">
        <v>17033124</v>
      </c>
      <c r="C9" s="247">
        <f>VLOOKUP(B9,'INV500 '!$K$3:$T$1990,10,FALSE)</f>
        <v>42828</v>
      </c>
      <c r="D9" s="295">
        <f>SUMPRODUCT('INV500 '!$V$3:$V$1990*((WebPosting!B9='INV500 '!$K$3:$K$1990)*1000)*('INV500 '!$O$3:$O$1990&lt;&gt;"M")*('INV500 '!$C$3:$C$1990=10))</f>
        <v>112375000</v>
      </c>
      <c r="E9" s="214">
        <f>VLOOKUP($B9,'INV500 '!$K$3:$U$1990,11,FALSE)/100</f>
        <v>6.9999999999999993E-3</v>
      </c>
      <c r="G9" s="214">
        <f t="shared" si="0"/>
        <v>4.3423718334428178E-4</v>
      </c>
      <c r="H9" s="360"/>
      <c r="I9" s="346"/>
      <c r="J9" s="346"/>
    </row>
    <row r="10" spans="1:15">
      <c r="A10" s="211" t="str">
        <f>VLOOKUP($B10,'INV500 '!$K$3:$U$1990,7,FALSE)</f>
        <v xml:space="preserve">NORTHERN TRUST COMPANY        </v>
      </c>
      <c r="B10" s="416">
        <v>17033126</v>
      </c>
      <c r="C10" s="247">
        <f>VLOOKUP(B10,'INV500 '!$K$3:$T$1990,10,FALSE)</f>
        <v>42828</v>
      </c>
      <c r="D10" s="295">
        <f>SUMPRODUCT('INV500 '!$V$3:$V$1990*((WebPosting!B10='INV500 '!$K$3:$K$1990)*1000)*('INV500 '!$O$3:$O$1990&lt;&gt;"M")*('INV500 '!$C$3:$C$1990=10))</f>
        <v>5900000</v>
      </c>
      <c r="E10" s="214">
        <f>VLOOKUP($B10,'INV500 '!$K$3:$U$1990,11,FALSE)/100</f>
        <v>6.9999999999999993E-3</v>
      </c>
      <c r="G10" s="214">
        <f t="shared" si="0"/>
        <v>2.2798659681702003E-5</v>
      </c>
      <c r="H10" s="360"/>
      <c r="I10" s="346"/>
      <c r="J10" s="346"/>
    </row>
    <row r="11" spans="1:15">
      <c r="A11" s="211" t="str">
        <f>VLOOKUP($B11,'INV500 '!$K$3:$U$1990,7,FALSE)</f>
        <v xml:space="preserve">NORTHERN TRUST COMPANY        </v>
      </c>
      <c r="B11" s="416">
        <v>17033128</v>
      </c>
      <c r="C11" s="247">
        <f>VLOOKUP(B11,'INV500 '!$K$3:$T$1990,10,FALSE)</f>
        <v>42828</v>
      </c>
      <c r="D11" s="295">
        <f>SUMPRODUCT('INV500 '!$V$3:$V$1990*((WebPosting!B11='INV500 '!$K$3:$K$1990)*1000)*('INV500 '!$O$3:$O$1990&lt;&gt;"M")*('INV500 '!$C$3:$C$1990=10))</f>
        <v>2500000</v>
      </c>
      <c r="E11" s="214">
        <f>VLOOKUP($B11,'INV500 '!$K$3:$U$1990,11,FALSE)/100</f>
        <v>6.9999999999999993E-3</v>
      </c>
      <c r="G11" s="214">
        <f t="shared" si="0"/>
        <v>9.6604490176703411E-6</v>
      </c>
      <c r="H11" s="360"/>
      <c r="I11" s="346"/>
      <c r="J11" s="346"/>
    </row>
    <row r="12" spans="1:15" hidden="1">
      <c r="A12" s="211" t="e">
        <f>VLOOKUP($B12,'INV500 '!$K$3:$U$1990,7,FALSE)</f>
        <v>#N/A</v>
      </c>
      <c r="B12" s="388"/>
      <c r="C12" s="247" t="e">
        <f>VLOOKUP(B12,'INV500 '!$K$3:$T$1990,10,FALSE)</f>
        <v>#N/A</v>
      </c>
      <c r="D12" s="295">
        <f>SUMPRODUCT('INV500 '!$V$3:$V$1990*((WebPosting!B12='INV500 '!$K$3:$K$1990)*1000)*('INV500 '!$O$3:$O$1990&lt;&gt;"M")*('INV500 '!$C$3:$C$1990=10))</f>
        <v>0</v>
      </c>
      <c r="E12" s="214" t="e">
        <f>VLOOKUP($B12,'INV500 '!$K$3:$U$1990,11,FALSE)/100</f>
        <v>#N/A</v>
      </c>
      <c r="H12" s="360"/>
      <c r="I12" s="346"/>
      <c r="J12" s="346"/>
    </row>
    <row r="13" spans="1:15" ht="9" customHeight="1">
      <c r="B13" s="230"/>
      <c r="C13" s="247"/>
      <c r="D13" s="295"/>
      <c r="H13" s="360"/>
      <c r="I13" s="346"/>
      <c r="J13" s="346"/>
    </row>
    <row r="14" spans="1:15">
      <c r="A14" s="370" t="s">
        <v>297</v>
      </c>
      <c r="C14" s="247"/>
      <c r="D14" s="352">
        <f>SUM(D6:D13)</f>
        <v>1611000000</v>
      </c>
      <c r="H14" s="360"/>
      <c r="I14" s="346" t="s">
        <v>262</v>
      </c>
      <c r="J14" s="346"/>
    </row>
    <row r="15" spans="1:15">
      <c r="C15" s="247"/>
      <c r="D15" s="291"/>
      <c r="H15" s="360"/>
      <c r="I15" s="346"/>
      <c r="J15" s="346"/>
    </row>
    <row r="16" spans="1:15">
      <c r="A16" s="369" t="s">
        <v>296</v>
      </c>
      <c r="B16" s="228"/>
      <c r="C16" s="368" t="s">
        <v>267</v>
      </c>
      <c r="D16" s="367" t="s">
        <v>257</v>
      </c>
      <c r="E16" s="355" t="s">
        <v>266</v>
      </c>
      <c r="F16" s="355"/>
      <c r="G16" s="355"/>
      <c r="H16" s="360"/>
      <c r="I16" s="346"/>
      <c r="J16" s="346"/>
    </row>
    <row r="17" spans="1:10">
      <c r="A17" s="211" t="str">
        <f>VLOOKUP($B17,'INV500 '!$K$3:$U$1990,7,FALSE)</f>
        <v xml:space="preserve">MIZUHO SECURITIES US          </v>
      </c>
      <c r="B17" s="416">
        <v>17033118</v>
      </c>
      <c r="C17" s="247">
        <f>VLOOKUP(B17,'INV500 '!$K$3:$T$1990,10,FALSE)</f>
        <v>42828</v>
      </c>
      <c r="D17" s="295">
        <f>SUMPRODUCT('INV500 '!$V$3:$V$1990*((WebPosting!B17='INV500 '!$K$3:$K$1990)*1000)*('INV500 '!$O$3:$O$1990&lt;&gt;"M")*('INV500 '!$C$3:$C$1990=10))</f>
        <v>720000</v>
      </c>
      <c r="E17" s="214">
        <f>VLOOKUP($B17,'INV500 '!$K$3:$U$1990,11,FALSE)/100</f>
        <v>7.8000000000000005E-3</v>
      </c>
      <c r="G17" s="214">
        <f>($D17*$E17)/($D$14+$D$21)</f>
        <v>3.1001760961849506E-6</v>
      </c>
      <c r="H17" s="360"/>
      <c r="I17" s="346"/>
      <c r="J17" s="346"/>
    </row>
    <row r="18" spans="1:10">
      <c r="A18" s="211" t="str">
        <f>VLOOKUP($B18,'INV500 '!$K$3:$U$1990,7,FALSE)</f>
        <v xml:space="preserve">MIZUHO SECURITIES US          </v>
      </c>
      <c r="B18" s="416">
        <v>17033116</v>
      </c>
      <c r="C18" s="247">
        <f>VLOOKUP(B18,'INV500 '!$K$3:$T$1990,10,FALSE)</f>
        <v>42828</v>
      </c>
      <c r="D18" s="295">
        <f>SUMPRODUCT('INV500 '!$V$3:$V$1990*((WebPosting!B18='INV500 '!$K$3:$K$1990)*1000)*('INV500 '!$O$3:$O$1990&lt;&gt;"M")*('INV500 '!$C$3:$C$1990=10))</f>
        <v>146395000</v>
      </c>
      <c r="E18" s="214">
        <f>VLOOKUP($B18,'INV500 '!$K$3:$U$1990,11,FALSE)/100</f>
        <v>7.8000000000000005E-3</v>
      </c>
      <c r="G18" s="214">
        <f>($D18*$E18)/($D$14+$D$21)</f>
        <v>6.3034761055693873E-4</v>
      </c>
      <c r="H18" s="360"/>
      <c r="I18" s="346"/>
      <c r="J18" s="346"/>
    </row>
    <row r="19" spans="1:10" outlineLevel="1">
      <c r="A19" s="211" t="str">
        <f>VLOOKUP($B19,'INV500 '!$K$3:$U$1990,7,FALSE)</f>
        <v xml:space="preserve">MIZUHO SECURITIES US          </v>
      </c>
      <c r="B19" s="416">
        <v>17033117</v>
      </c>
      <c r="C19" s="247">
        <f>VLOOKUP(B19,'INV500 '!$K$3:$T$1990,10,FALSE)</f>
        <v>42828</v>
      </c>
      <c r="D19" s="295">
        <f>SUMPRODUCT('INV500 '!$V$3:$V$1990*((WebPosting!B19='INV500 '!$K$3:$K$1990)*1000)*('INV500 '!$O$3:$O$1990&lt;&gt;"M")*('INV500 '!$C$3:$C$1990=10))</f>
        <v>53395000</v>
      </c>
      <c r="E19" s="214">
        <f>VLOOKUP($B19,'INV500 '!$K$3:$U$1990,11,FALSE)/100</f>
        <v>7.8000000000000005E-3</v>
      </c>
      <c r="G19" s="214">
        <f>($D19*$E19)/($D$14+$D$21)</f>
        <v>2.2990819813304921E-4</v>
      </c>
      <c r="H19" s="360"/>
      <c r="I19" s="346"/>
      <c r="J19" s="346"/>
    </row>
    <row r="20" spans="1:10" ht="7.5" customHeight="1">
      <c r="B20" s="408"/>
      <c r="C20" s="247"/>
      <c r="D20" s="294"/>
      <c r="H20" s="360"/>
      <c r="I20" s="346"/>
      <c r="J20" s="346"/>
    </row>
    <row r="21" spans="1:10" s="364" customFormat="1">
      <c r="A21" s="359" t="s">
        <v>295</v>
      </c>
      <c r="B21" s="366"/>
      <c r="C21" s="360"/>
      <c r="D21" s="291">
        <f>SUM(D17:D19)</f>
        <v>200510000</v>
      </c>
      <c r="E21" s="365"/>
      <c r="F21" s="365"/>
      <c r="G21" s="365"/>
      <c r="H21" s="360"/>
      <c r="I21" s="256" t="s">
        <v>262</v>
      </c>
      <c r="J21" s="256"/>
    </row>
    <row r="22" spans="1:10" s="364" customFormat="1">
      <c r="A22" s="359"/>
      <c r="B22" s="366"/>
      <c r="C22" s="360"/>
      <c r="D22" s="291"/>
      <c r="E22" s="365"/>
      <c r="F22" s="365"/>
      <c r="G22" s="365"/>
      <c r="H22" s="360"/>
      <c r="I22" s="256"/>
      <c r="J22" s="256"/>
    </row>
    <row r="23" spans="1:10">
      <c r="D23" s="291"/>
      <c r="E23" s="275"/>
      <c r="F23" s="275"/>
      <c r="G23" s="275"/>
      <c r="H23" s="360"/>
      <c r="I23" s="346"/>
      <c r="J23" s="346"/>
    </row>
    <row r="24" spans="1:10" ht="18">
      <c r="A24" s="436" t="s">
        <v>294</v>
      </c>
      <c r="B24" s="436"/>
      <c r="C24" s="436"/>
      <c r="D24" s="436"/>
      <c r="E24" s="436"/>
      <c r="F24" s="274"/>
      <c r="G24" s="274"/>
      <c r="I24" s="346"/>
      <c r="J24" s="346"/>
    </row>
    <row r="25" spans="1:10">
      <c r="A25" s="273" t="s">
        <v>258</v>
      </c>
      <c r="B25" s="272"/>
      <c r="C25" s="300" t="s">
        <v>267</v>
      </c>
      <c r="D25" s="270" t="s">
        <v>257</v>
      </c>
      <c r="E25" s="299" t="s">
        <v>266</v>
      </c>
      <c r="F25" s="268" t="s">
        <v>34</v>
      </c>
      <c r="G25" s="317">
        <f>SUMIF($G$26:$G$120,"&lt;&gt;#N/A",$G$26:$G$120)</f>
        <v>1.0352344671813372E-2</v>
      </c>
      <c r="I25" s="346"/>
      <c r="J25" s="346"/>
    </row>
    <row r="26" spans="1:10" ht="15.75" hidden="1" customHeight="1">
      <c r="A26" s="211" t="e">
        <f>VLOOKUP($B26,'INV500 '!$K$3:$U$1990,7,FALSE)</f>
        <v>#N/A</v>
      </c>
      <c r="B26" s="62">
        <v>16110303</v>
      </c>
      <c r="C26" s="247" t="e">
        <f>VLOOKUP(B26,'INV500 '!$K$3:$T$1990,10,FALSE)</f>
        <v>#N/A</v>
      </c>
      <c r="D26" s="295">
        <f>SUMPRODUCT('INV500 '!$V$3:$V$1990*((WebPosting!B26='INV500 '!$K$3:$K$1990)*1000)*('INV500 '!$O$3:$O$1990&lt;&gt;"M")*('INV500 '!$C$3:$C$1990=60))</f>
        <v>0</v>
      </c>
      <c r="E26" s="214" t="e">
        <f>VLOOKUP($B26,'INV500 '!$K$3:$U$1990,11,FALSE)/100</f>
        <v>#N/A</v>
      </c>
      <c r="G26" s="214" t="e">
        <f t="shared" ref="G26:G57" si="1">($D26*$E26)/$D$121</f>
        <v>#N/A</v>
      </c>
      <c r="H26" s="360"/>
      <c r="I26" s="346"/>
      <c r="J26" s="346"/>
    </row>
    <row r="27" spans="1:10" ht="15.75" hidden="1" customHeight="1">
      <c r="A27" s="211" t="e">
        <f>VLOOKUP($B27,'INV500 '!$K$3:$U$1990,7,FALSE)</f>
        <v>#N/A</v>
      </c>
      <c r="B27" s="349">
        <v>17011708</v>
      </c>
      <c r="C27" s="247" t="e">
        <f>VLOOKUP(B27,'INV500 '!$K$3:$T$1990,10,FALSE)</f>
        <v>#N/A</v>
      </c>
      <c r="D27" s="295">
        <f>SUMPRODUCT('INV500 '!$V$3:$V$1990*((WebPosting!B27='INV500 '!$K$3:$K$1990)*1000)*('INV500 '!$O$3:$O$1990&lt;&gt;"M")*('INV500 '!$C$3:$C$1990=60))</f>
        <v>0</v>
      </c>
      <c r="E27" s="214" t="e">
        <f>VLOOKUP($B27,'INV500 '!$K$3:$U$1990,11,FALSE)/100</f>
        <v>#N/A</v>
      </c>
      <c r="G27" s="214" t="e">
        <f t="shared" si="1"/>
        <v>#N/A</v>
      </c>
      <c r="H27" s="360"/>
      <c r="I27" s="346"/>
      <c r="J27" s="346"/>
    </row>
    <row r="28" spans="1:10" ht="15.75" hidden="1" customHeight="1">
      <c r="A28" s="211" t="e">
        <f>VLOOKUP($B28,'INV500 '!$K$3:$U$1990,7,FALSE)</f>
        <v>#N/A</v>
      </c>
      <c r="B28" s="321">
        <v>17011304</v>
      </c>
      <c r="C28" s="247" t="e">
        <f>VLOOKUP(B28,'INV500 '!$K$3:$T$1990,10,FALSE)</f>
        <v>#N/A</v>
      </c>
      <c r="D28" s="295">
        <f>SUMPRODUCT('INV500 '!$V$3:$V$1990*((WebPosting!B28='INV500 '!$K$3:$K$1990)*1000)*('INV500 '!$O$3:$O$1990&lt;&gt;"M")*('INV500 '!$C$3:$C$1990=60))</f>
        <v>0</v>
      </c>
      <c r="E28" s="214" t="e">
        <f>VLOOKUP($B28,'INV500 '!$K$3:$U$1990,11,FALSE)/100</f>
        <v>#N/A</v>
      </c>
      <c r="G28" s="214" t="e">
        <f t="shared" si="1"/>
        <v>#N/A</v>
      </c>
      <c r="H28" s="360"/>
      <c r="I28" s="346"/>
      <c r="J28" s="346"/>
    </row>
    <row r="29" spans="1:10" ht="15.75" hidden="1" customHeight="1">
      <c r="A29" s="211" t="e">
        <f>VLOOKUP($B29,'INV500 '!$K$3:$U$1990,7,FALSE)</f>
        <v>#N/A</v>
      </c>
      <c r="B29" s="228"/>
      <c r="C29" s="247" t="e">
        <f>VLOOKUP(B29,'INV500 '!$K$3:$T$1990,10,FALSE)</f>
        <v>#N/A</v>
      </c>
      <c r="D29" s="295">
        <f>SUMPRODUCT('INV500 '!$V$3:$V$1990*((WebPosting!B29='INV500 '!$K$3:$K$1990)*1000)*('INV500 '!$O$3:$O$1990&lt;&gt;"M")*('INV500 '!$C$3:$C$1990=60))</f>
        <v>0</v>
      </c>
      <c r="E29" s="214" t="e">
        <f>VLOOKUP($B29,'INV500 '!$K$3:$U$1990,11,FALSE)/100</f>
        <v>#N/A</v>
      </c>
      <c r="G29" s="214" t="e">
        <f t="shared" si="1"/>
        <v>#N/A</v>
      </c>
      <c r="H29" s="360"/>
      <c r="I29" s="346"/>
      <c r="J29" s="346"/>
    </row>
    <row r="30" spans="1:10" ht="15.75" hidden="1" customHeight="1">
      <c r="A30" s="211" t="e">
        <f>VLOOKUP($B30,'INV500 '!$K$3:$U$1990,7,FALSE)</f>
        <v>#N/A</v>
      </c>
      <c r="B30" s="258">
        <v>16100510</v>
      </c>
      <c r="C30" s="247" t="e">
        <f>VLOOKUP(B30,'INV500 '!$K$3:$T$1990,10,FALSE)</f>
        <v>#N/A</v>
      </c>
      <c r="D30" s="295">
        <f>SUMPRODUCT('INV500 '!$V$3:$V$1990*((WebPosting!B30='INV500 '!$K$3:$K$1990)*1000)*('INV500 '!$O$3:$O$1990&lt;&gt;"M")*('INV500 '!$C$3:$C$1990=60))</f>
        <v>0</v>
      </c>
      <c r="E30" s="214" t="e">
        <f>VLOOKUP($B30,'INV500 '!$K$3:$U$1990,11,FALSE)/100</f>
        <v>#N/A</v>
      </c>
      <c r="G30" s="214" t="e">
        <f t="shared" si="1"/>
        <v>#N/A</v>
      </c>
      <c r="H30" s="360"/>
      <c r="I30" s="346"/>
      <c r="J30" s="346"/>
    </row>
    <row r="31" spans="1:10" ht="15.75" hidden="1" customHeight="1">
      <c r="A31" s="211" t="e">
        <f>VLOOKUP($B31,'INV500 '!$K$3:$U$1990,7,FALSE)</f>
        <v>#N/A</v>
      </c>
      <c r="B31" s="351">
        <v>16101809</v>
      </c>
      <c r="C31" s="247" t="e">
        <f>VLOOKUP(B31,'INV500 '!$K$3:$T$1990,10,FALSE)</f>
        <v>#N/A</v>
      </c>
      <c r="D31" s="295">
        <f>SUMPRODUCT('INV500 '!$V$3:$V$1990*((WebPosting!B31='INV500 '!$K$3:$K$1990)*1000)*('INV500 '!$O$3:$O$1990&lt;&gt;"M")*('INV500 '!$C$3:$C$1990=60))</f>
        <v>0</v>
      </c>
      <c r="E31" s="214" t="e">
        <f>VLOOKUP($B31,'INV500 '!$K$3:$U$1990,11,FALSE)/100</f>
        <v>#N/A</v>
      </c>
      <c r="G31" s="214" t="e">
        <f t="shared" si="1"/>
        <v>#N/A</v>
      </c>
      <c r="H31" s="360"/>
      <c r="I31" s="346"/>
      <c r="J31" s="346"/>
    </row>
    <row r="32" spans="1:10" ht="15.75" hidden="1" customHeight="1">
      <c r="A32" s="211" t="e">
        <f>VLOOKUP($B32,'INV500 '!$K$3:$U$1990,7,FALSE)</f>
        <v>#N/A</v>
      </c>
      <c r="B32" s="311">
        <v>16102409</v>
      </c>
      <c r="C32" s="247" t="e">
        <f>VLOOKUP(B32,'INV500 '!$K$3:$T$1990,10,FALSE)</f>
        <v>#N/A</v>
      </c>
      <c r="D32" s="295">
        <f>SUMPRODUCT('INV500 '!$V$3:$V$1990*((WebPosting!B32='INV500 '!$K$3:$K$1990)*1000)*('INV500 '!$O$3:$O$1990&lt;&gt;"M")*('INV500 '!$C$3:$C$1990=60))</f>
        <v>0</v>
      </c>
      <c r="E32" s="214" t="e">
        <f>VLOOKUP($B32,'INV500 '!$K$3:$U$1990,11,FALSE)/100</f>
        <v>#N/A</v>
      </c>
      <c r="G32" s="214" t="e">
        <f t="shared" si="1"/>
        <v>#N/A</v>
      </c>
      <c r="H32" s="360"/>
      <c r="I32" s="346"/>
      <c r="J32" s="346"/>
    </row>
    <row r="33" spans="1:10" ht="15.75" hidden="1" customHeight="1">
      <c r="A33" s="211" t="e">
        <f>VLOOKUP($B33,'INV500 '!$K$3:$U$1990,7,FALSE)</f>
        <v>#N/A</v>
      </c>
      <c r="B33" s="311">
        <v>16102514</v>
      </c>
      <c r="C33" s="247" t="e">
        <f>VLOOKUP(B33,'INV500 '!$K$3:$T$1990,10,FALSE)</f>
        <v>#N/A</v>
      </c>
      <c r="D33" s="295">
        <f>SUMPRODUCT('INV500 '!$V$3:$V$1990*((WebPosting!B33='INV500 '!$K$3:$K$1990)*1000)*('INV500 '!$O$3:$O$1990&lt;&gt;"M")*('INV500 '!$C$3:$C$1990=60))</f>
        <v>0</v>
      </c>
      <c r="E33" s="214" t="e">
        <f>VLOOKUP($B33,'INV500 '!$K$3:$U$1990,11,FALSE)/100</f>
        <v>#N/A</v>
      </c>
      <c r="G33" s="214" t="e">
        <f t="shared" si="1"/>
        <v>#N/A</v>
      </c>
      <c r="H33" s="360"/>
      <c r="I33" s="346"/>
      <c r="J33" s="346"/>
    </row>
    <row r="34" spans="1:10" ht="15.75" hidden="1" customHeight="1">
      <c r="A34" s="211" t="e">
        <f>VLOOKUP($B34,'INV500 '!$K$3:$U$1990,7,FALSE)</f>
        <v>#N/A</v>
      </c>
      <c r="B34" s="311">
        <v>16102804</v>
      </c>
      <c r="C34" s="247" t="e">
        <f>VLOOKUP(B34,'INV500 '!$K$3:$T$1990,10,FALSE)</f>
        <v>#N/A</v>
      </c>
      <c r="D34" s="295">
        <f>SUMPRODUCT('INV500 '!$V$3:$V$1990*((WebPosting!B34='INV500 '!$K$3:$K$1990)*1000)*('INV500 '!$O$3:$O$1990&lt;&gt;"M")*('INV500 '!$C$3:$C$1990=60))</f>
        <v>0</v>
      </c>
      <c r="E34" s="214" t="e">
        <f>VLOOKUP($B34,'INV500 '!$K$3:$U$1990,11,FALSE)/100</f>
        <v>#N/A</v>
      </c>
      <c r="G34" s="214" t="e">
        <f t="shared" si="1"/>
        <v>#N/A</v>
      </c>
      <c r="H34" s="360"/>
      <c r="I34" s="346"/>
      <c r="J34" s="346"/>
    </row>
    <row r="35" spans="1:10" ht="15.75" hidden="1" customHeight="1">
      <c r="A35" s="211" t="e">
        <f>VLOOKUP($B35,'INV500 '!$K$3:$U$1990,7,FALSE)</f>
        <v>#N/A</v>
      </c>
      <c r="B35" s="311">
        <v>16102808</v>
      </c>
      <c r="C35" s="247" t="e">
        <f>VLOOKUP(B35,'INV500 '!$K$3:$T$1990,10,FALSE)</f>
        <v>#N/A</v>
      </c>
      <c r="D35" s="295">
        <f>SUMPRODUCT('INV500 '!$V$3:$V$1990*((WebPosting!B35='INV500 '!$K$3:$K$1990)*1000)*('INV500 '!$O$3:$O$1990&lt;&gt;"M")*('INV500 '!$C$3:$C$1990=60))</f>
        <v>0</v>
      </c>
      <c r="E35" s="214" t="e">
        <f>VLOOKUP($B35,'INV500 '!$K$3:$U$1990,11,FALSE)/100</f>
        <v>#N/A</v>
      </c>
      <c r="G35" s="214" t="e">
        <f t="shared" si="1"/>
        <v>#N/A</v>
      </c>
      <c r="H35" s="360"/>
      <c r="I35" s="346"/>
      <c r="J35" s="346"/>
    </row>
    <row r="36" spans="1:10" ht="15.75" hidden="1" customHeight="1">
      <c r="A36" s="211" t="e">
        <f>VLOOKUP($B36,'INV500 '!$K$3:$U$1990,7,FALSE)</f>
        <v>#N/A</v>
      </c>
      <c r="B36" s="326">
        <v>16110102</v>
      </c>
      <c r="C36" s="247" t="e">
        <f>VLOOKUP(B36,'INV500 '!$K$3:$T$1990,10,FALSE)</f>
        <v>#N/A</v>
      </c>
      <c r="D36" s="295">
        <f>SUMPRODUCT('INV500 '!$V$3:$V$1990*((WebPosting!B36='INV500 '!$K$3:$K$1990)*1000)*('INV500 '!$O$3:$O$1990&lt;&gt;"M")*('INV500 '!$C$3:$C$1990=60))</f>
        <v>0</v>
      </c>
      <c r="E36" s="214" t="e">
        <f>VLOOKUP($B36,'INV500 '!$K$3:$U$1990,11,FALSE)/100</f>
        <v>#N/A</v>
      </c>
      <c r="G36" s="214" t="e">
        <f t="shared" si="1"/>
        <v>#N/A</v>
      </c>
      <c r="H36" s="360"/>
      <c r="I36" s="346"/>
      <c r="J36" s="346"/>
    </row>
    <row r="37" spans="1:10" ht="15.75" hidden="1" customHeight="1">
      <c r="A37" s="211" t="e">
        <f>VLOOKUP($B37,'INV500 '!$K$3:$U$1990,7,FALSE)</f>
        <v>#N/A</v>
      </c>
      <c r="B37" s="326">
        <v>16110207</v>
      </c>
      <c r="C37" s="247" t="e">
        <f>VLOOKUP(B37,'INV500 '!$K$3:$T$1990,10,FALSE)</f>
        <v>#N/A</v>
      </c>
      <c r="D37" s="295">
        <f>SUMPRODUCT('INV500 '!$V$3:$V$1990*((WebPosting!B37='INV500 '!$K$3:$K$1990)*1000)*('INV500 '!$O$3:$O$1990&lt;&gt;"M")*('INV500 '!$C$3:$C$1990=60))</f>
        <v>0</v>
      </c>
      <c r="E37" s="214" t="e">
        <f>VLOOKUP($B37,'INV500 '!$K$3:$U$1990,11,FALSE)/100</f>
        <v>#N/A</v>
      </c>
      <c r="G37" s="214" t="e">
        <f t="shared" si="1"/>
        <v>#N/A</v>
      </c>
      <c r="H37" s="360"/>
      <c r="I37" s="346"/>
      <c r="J37" s="346"/>
    </row>
    <row r="38" spans="1:10" ht="15.75" hidden="1" customHeight="1">
      <c r="A38" s="211" t="e">
        <f>VLOOKUP($B38,'INV500 '!$K$3:$U$1990,7,FALSE)</f>
        <v>#N/A</v>
      </c>
      <c r="B38" s="326">
        <v>16110212</v>
      </c>
      <c r="C38" s="247" t="e">
        <f>VLOOKUP(B38,'INV500 '!$K$3:$T$1990,10,FALSE)</f>
        <v>#N/A</v>
      </c>
      <c r="D38" s="295">
        <f>SUMPRODUCT('INV500 '!$V$3:$V$1990*((WebPosting!B38='INV500 '!$K$3:$K$1990)*1000)*('INV500 '!$O$3:$O$1990&lt;&gt;"M")*('INV500 '!$C$3:$C$1990=60))</f>
        <v>0</v>
      </c>
      <c r="E38" s="214" t="e">
        <f>VLOOKUP($B38,'INV500 '!$K$3:$U$1990,11,FALSE)/100</f>
        <v>#N/A</v>
      </c>
      <c r="G38" s="214" t="e">
        <f t="shared" si="1"/>
        <v>#N/A</v>
      </c>
      <c r="H38" s="360"/>
      <c r="I38" s="346"/>
      <c r="J38" s="346"/>
    </row>
    <row r="39" spans="1:10" ht="15.75" hidden="1" customHeight="1">
      <c r="A39" s="211" t="e">
        <f>VLOOKUP($B39,'INV500 '!$K$3:$U$1990,7,FALSE)</f>
        <v>#N/A</v>
      </c>
      <c r="B39" s="326">
        <v>16110214</v>
      </c>
      <c r="C39" s="247" t="e">
        <f>VLOOKUP(B39,'INV500 '!$K$3:$T$1990,10,FALSE)</f>
        <v>#N/A</v>
      </c>
      <c r="D39" s="295">
        <f>SUMPRODUCT('INV500 '!$V$3:$V$1990*((WebPosting!B39='INV500 '!$K$3:$K$1990)*1000)*('INV500 '!$O$3:$O$1990&lt;&gt;"M")*('INV500 '!$C$3:$C$1990=60))</f>
        <v>0</v>
      </c>
      <c r="E39" s="214" t="e">
        <f>VLOOKUP($B39,'INV500 '!$K$3:$U$1990,11,FALSE)/100</f>
        <v>#N/A</v>
      </c>
      <c r="G39" s="214" t="e">
        <f t="shared" si="1"/>
        <v>#N/A</v>
      </c>
      <c r="H39" s="360"/>
      <c r="I39" s="346"/>
      <c r="J39" s="346"/>
    </row>
    <row r="40" spans="1:10" ht="15.75" hidden="1" customHeight="1">
      <c r="A40" s="211" t="e">
        <f>VLOOKUP($B40,'INV500 '!$K$3:$U$1990,7,FALSE)</f>
        <v>#N/A</v>
      </c>
      <c r="B40" s="326">
        <v>16110302</v>
      </c>
      <c r="C40" s="247" t="e">
        <f>VLOOKUP(B40,'INV500 '!$K$3:$T$1990,10,FALSE)</f>
        <v>#N/A</v>
      </c>
      <c r="D40" s="295">
        <f>SUMPRODUCT('INV500 '!$V$3:$V$1990*((WebPosting!B40='INV500 '!$K$3:$K$1990)*1000)*('INV500 '!$O$3:$O$1990&lt;&gt;"M")*('INV500 '!$C$3:$C$1990=60))</f>
        <v>0</v>
      </c>
      <c r="E40" s="214" t="e">
        <f>VLOOKUP($B40,'INV500 '!$K$3:$U$1990,11,FALSE)/100</f>
        <v>#N/A</v>
      </c>
      <c r="G40" s="214" t="e">
        <f t="shared" si="1"/>
        <v>#N/A</v>
      </c>
      <c r="H40" s="360"/>
      <c r="I40" s="346"/>
      <c r="J40" s="346"/>
    </row>
    <row r="41" spans="1:10" ht="15.75" hidden="1" customHeight="1">
      <c r="A41" s="211" t="e">
        <f>VLOOKUP($B41,'INV500 '!$K$3:$U$1990,7,FALSE)</f>
        <v>#N/A</v>
      </c>
      <c r="B41" s="326">
        <v>16110304</v>
      </c>
      <c r="C41" s="247" t="e">
        <f>VLOOKUP(B41,'INV500 '!$K$3:$T$1990,10,FALSE)</f>
        <v>#N/A</v>
      </c>
      <c r="D41" s="295">
        <f>SUMPRODUCT('INV500 '!$V$3:$V$1990*((WebPosting!B41='INV500 '!$K$3:$K$1990)*1000)*('INV500 '!$O$3:$O$1990&lt;&gt;"M")*('INV500 '!$C$3:$C$1990=60))</f>
        <v>0</v>
      </c>
      <c r="E41" s="214" t="e">
        <f>VLOOKUP($B41,'INV500 '!$K$3:$U$1990,11,FALSE)/100</f>
        <v>#N/A</v>
      </c>
      <c r="G41" s="214" t="e">
        <f t="shared" si="1"/>
        <v>#N/A</v>
      </c>
      <c r="H41" s="360"/>
      <c r="I41" s="346"/>
      <c r="J41" s="346"/>
    </row>
    <row r="42" spans="1:10" ht="15.75" hidden="1" customHeight="1">
      <c r="A42" s="211" t="e">
        <f>VLOOKUP($B42,'INV500 '!$K$3:$U$1990,7,FALSE)</f>
        <v>#N/A</v>
      </c>
      <c r="B42" s="326">
        <v>16110409</v>
      </c>
      <c r="C42" s="247" t="e">
        <f>VLOOKUP(B42,'INV500 '!$K$3:$T$1990,10,FALSE)</f>
        <v>#N/A</v>
      </c>
      <c r="D42" s="295">
        <f>SUMPRODUCT('INV500 '!$V$3:$V$1990*((WebPosting!B42='INV500 '!$K$3:$K$1990)*1000)*('INV500 '!$O$3:$O$1990&lt;&gt;"M")*('INV500 '!$C$3:$C$1990=60))</f>
        <v>0</v>
      </c>
      <c r="E42" s="214" t="e">
        <f>VLOOKUP($B42,'INV500 '!$K$3:$U$1990,11,FALSE)/100</f>
        <v>#N/A</v>
      </c>
      <c r="G42" s="214" t="e">
        <f t="shared" si="1"/>
        <v>#N/A</v>
      </c>
      <c r="H42" s="360"/>
      <c r="I42" s="346"/>
      <c r="J42" s="346"/>
    </row>
    <row r="43" spans="1:10" ht="15.75" hidden="1" customHeight="1">
      <c r="A43" s="211" t="e">
        <f>VLOOKUP($B43,'INV500 '!$K$3:$U$1990,7,FALSE)</f>
        <v>#N/A</v>
      </c>
      <c r="B43" s="323">
        <v>16110711</v>
      </c>
      <c r="C43" s="247" t="e">
        <f>VLOOKUP(B43,'INV500 '!$K$3:$T$1990,10,FALSE)</f>
        <v>#N/A</v>
      </c>
      <c r="D43" s="295">
        <f>SUMPRODUCT('INV500 '!$V$3:$V$1990*((WebPosting!B43='INV500 '!$K$3:$K$1990)*1000)*('INV500 '!$O$3:$O$1990&lt;&gt;"M")*('INV500 '!$C$3:$C$1990=60))</f>
        <v>0</v>
      </c>
      <c r="E43" s="214" t="e">
        <f>VLOOKUP($B43,'INV500 '!$K$3:$U$1990,11,FALSE)/100</f>
        <v>#N/A</v>
      </c>
      <c r="G43" s="214" t="e">
        <f t="shared" si="1"/>
        <v>#N/A</v>
      </c>
      <c r="H43" s="360"/>
      <c r="I43" s="346"/>
      <c r="J43" s="346"/>
    </row>
    <row r="44" spans="1:10" ht="15.75" hidden="1" customHeight="1">
      <c r="A44" s="211" t="e">
        <f>VLOOKUP($B44,'INV500 '!$K$3:$U$1990,7,FALSE)</f>
        <v>#N/A</v>
      </c>
      <c r="B44" s="323">
        <v>16110910</v>
      </c>
      <c r="C44" s="247" t="e">
        <f>VLOOKUP(B44,'INV500 '!$K$3:$T$1990,10,FALSE)</f>
        <v>#N/A</v>
      </c>
      <c r="D44" s="295">
        <f>SUMPRODUCT('INV500 '!$V$3:$V$1990*((WebPosting!B44='INV500 '!$K$3:$K$1990)*1000)*('INV500 '!$O$3:$O$1990&lt;&gt;"M")*('INV500 '!$C$3:$C$1990=60))</f>
        <v>0</v>
      </c>
      <c r="E44" s="214" t="e">
        <f>VLOOKUP($B44,'INV500 '!$K$3:$U$1990,11,FALSE)/100</f>
        <v>#N/A</v>
      </c>
      <c r="G44" s="214" t="e">
        <f t="shared" si="1"/>
        <v>#N/A</v>
      </c>
      <c r="H44" s="360"/>
      <c r="I44" s="346"/>
      <c r="J44" s="346"/>
    </row>
    <row r="45" spans="1:10" ht="15.75" hidden="1" customHeight="1">
      <c r="A45" s="211" t="e">
        <f>VLOOKUP($B45,'INV500 '!$K$3:$U$1990,7,FALSE)</f>
        <v>#N/A</v>
      </c>
      <c r="B45" s="304">
        <v>16111509</v>
      </c>
      <c r="C45" s="247" t="e">
        <f>VLOOKUP(B45,'INV500 '!$K$3:$T$1990,10,FALSE)</f>
        <v>#N/A</v>
      </c>
      <c r="D45" s="295">
        <f>SUMPRODUCT('INV500 '!$V$3:$V$1990*((WebPosting!B45='INV500 '!$K$3:$K$1990)*1000)*('INV500 '!$O$3:$O$1990&lt;&gt;"M")*('INV500 '!$C$3:$C$1990=60))</f>
        <v>0</v>
      </c>
      <c r="E45" s="214" t="e">
        <f>VLOOKUP($B45,'INV500 '!$K$3:$U$1990,11,FALSE)/100</f>
        <v>#N/A</v>
      </c>
      <c r="G45" s="214" t="e">
        <f t="shared" si="1"/>
        <v>#N/A</v>
      </c>
      <c r="H45" s="360"/>
      <c r="I45" s="346"/>
      <c r="J45" s="346"/>
    </row>
    <row r="46" spans="1:10" ht="15.75" hidden="1" customHeight="1">
      <c r="A46" s="211" t="e">
        <f>VLOOKUP($B46,'INV500 '!$K$3:$U$1990,7,FALSE)</f>
        <v>#N/A</v>
      </c>
      <c r="B46" s="304">
        <v>16111514</v>
      </c>
      <c r="C46" s="247" t="e">
        <f>VLOOKUP(B46,'INV500 '!$K$3:$T$1990,10,FALSE)</f>
        <v>#N/A</v>
      </c>
      <c r="D46" s="295">
        <f>SUMPRODUCT('INV500 '!$V$3:$V$1990*((WebPosting!B46='INV500 '!$K$3:$K$1990)*1000)*('INV500 '!$O$3:$O$1990&lt;&gt;"M")*('INV500 '!$C$3:$C$1990=60))</f>
        <v>0</v>
      </c>
      <c r="E46" s="214" t="e">
        <f>VLOOKUP($B46,'INV500 '!$K$3:$U$1990,11,FALSE)/100</f>
        <v>#N/A</v>
      </c>
      <c r="G46" s="214" t="e">
        <f t="shared" si="1"/>
        <v>#N/A</v>
      </c>
      <c r="H46" s="360"/>
      <c r="I46" s="346"/>
      <c r="J46" s="346"/>
    </row>
    <row r="47" spans="1:10" ht="15.75" hidden="1" customHeight="1">
      <c r="A47" s="211" t="e">
        <f>VLOOKUP($B47,'INV500 '!$K$3:$U$1990,7,FALSE)</f>
        <v>#N/A</v>
      </c>
      <c r="B47" s="283">
        <v>16112804</v>
      </c>
      <c r="C47" s="247" t="e">
        <f>VLOOKUP(B47,'INV500 '!$K$3:$T$1990,10,FALSE)</f>
        <v>#N/A</v>
      </c>
      <c r="D47" s="295">
        <f>SUMPRODUCT('INV500 '!$V$3:$V$1990*((WebPosting!B47='INV500 '!$K$3:$K$1990)*1000)*('INV500 '!$O$3:$O$1990&lt;&gt;"M")*('INV500 '!$C$3:$C$1990=60))</f>
        <v>0</v>
      </c>
      <c r="E47" s="214" t="e">
        <f>VLOOKUP($B47,'INV500 '!$K$3:$U$1990,11,FALSE)/100</f>
        <v>#N/A</v>
      </c>
      <c r="G47" s="214" t="e">
        <f t="shared" si="1"/>
        <v>#N/A</v>
      </c>
      <c r="H47" s="360"/>
      <c r="I47" s="346"/>
      <c r="J47" s="346"/>
    </row>
    <row r="48" spans="1:10" ht="15.75" hidden="1" customHeight="1">
      <c r="A48" s="211" t="e">
        <f>VLOOKUP($B48,'INV500 '!$K$3:$U$1990,7,FALSE)</f>
        <v>#N/A</v>
      </c>
      <c r="B48" s="283">
        <v>16112810</v>
      </c>
      <c r="C48" s="247" t="e">
        <f>VLOOKUP(B48,'INV500 '!$K$3:$T$1990,10,FALSE)</f>
        <v>#N/A</v>
      </c>
      <c r="D48" s="295">
        <f>SUMPRODUCT('INV500 '!$V$3:$V$1990*((WebPosting!B48='INV500 '!$K$3:$K$1990)*1000)*('INV500 '!$O$3:$O$1990&lt;&gt;"M")*('INV500 '!$C$3:$C$1990=60))</f>
        <v>0</v>
      </c>
      <c r="E48" s="214" t="e">
        <f>VLOOKUP($B48,'INV500 '!$K$3:$U$1990,11,FALSE)/100</f>
        <v>#N/A</v>
      </c>
      <c r="G48" s="214" t="e">
        <f t="shared" si="1"/>
        <v>#N/A</v>
      </c>
      <c r="H48" s="360"/>
      <c r="I48" s="346"/>
      <c r="J48" s="346"/>
    </row>
    <row r="49" spans="1:10" ht="15.75" hidden="1" customHeight="1">
      <c r="A49" s="211" t="e">
        <f>VLOOKUP($B49,'INV500 '!$K$3:$U$1990,7,FALSE)</f>
        <v>#N/A</v>
      </c>
      <c r="B49" s="283">
        <v>16112909</v>
      </c>
      <c r="C49" s="247" t="e">
        <f>VLOOKUP(B49,'INV500 '!$K$3:$T$1990,10,FALSE)</f>
        <v>#N/A</v>
      </c>
      <c r="D49" s="295">
        <f>SUMPRODUCT('INV500 '!$V$3:$V$1990*((WebPosting!B49='INV500 '!$K$3:$K$1990)*1000)*('INV500 '!$O$3:$O$1990&lt;&gt;"M")*('INV500 '!$C$3:$C$1990=60))</f>
        <v>0</v>
      </c>
      <c r="E49" s="214" t="e">
        <f>VLOOKUP($B49,'INV500 '!$K$3:$U$1990,11,FALSE)/100</f>
        <v>#N/A</v>
      </c>
      <c r="G49" s="214" t="e">
        <f t="shared" si="1"/>
        <v>#N/A</v>
      </c>
      <c r="H49" s="360"/>
      <c r="I49" s="346"/>
      <c r="J49" s="346"/>
    </row>
    <row r="50" spans="1:10" ht="15.75" hidden="1" customHeight="1">
      <c r="A50" s="211" t="e">
        <f>VLOOKUP($B50,'INV500 '!$K$3:$U$1990,7,FALSE)</f>
        <v>#N/A</v>
      </c>
      <c r="B50" s="283">
        <v>16120109</v>
      </c>
      <c r="C50" s="247" t="e">
        <f>VLOOKUP(B50,'INV500 '!$K$3:$T$1990,10,FALSE)</f>
        <v>#N/A</v>
      </c>
      <c r="D50" s="295">
        <f>SUMPRODUCT('INV500 '!$V$3:$V$1990*((WebPosting!B50='INV500 '!$K$3:$K$1990)*1000)*('INV500 '!$O$3:$O$1990&lt;&gt;"M")*('INV500 '!$C$3:$C$1990=60))</f>
        <v>0</v>
      </c>
      <c r="E50" s="214" t="e">
        <f>VLOOKUP($B50,'INV500 '!$K$3:$U$1990,11,FALSE)/100</f>
        <v>#N/A</v>
      </c>
      <c r="G50" s="214" t="e">
        <f t="shared" si="1"/>
        <v>#N/A</v>
      </c>
      <c r="H50" s="360"/>
      <c r="I50" s="346"/>
      <c r="J50" s="346"/>
    </row>
    <row r="51" spans="1:10" ht="15.75" hidden="1" customHeight="1">
      <c r="A51" s="211" t="e">
        <f>VLOOKUP($B51,'INV500 '!$K$3:$U$1990,7,FALSE)</f>
        <v>#N/A</v>
      </c>
      <c r="B51" s="339">
        <v>16121512</v>
      </c>
      <c r="C51" s="247" t="e">
        <f>VLOOKUP(B51,'INV500 '!$K$3:$T$1990,10,FALSE)</f>
        <v>#N/A</v>
      </c>
      <c r="D51" s="295">
        <f>SUMPRODUCT('INV500 '!$V$3:$V$1990*((WebPosting!B51='INV500 '!$K$3:$K$1990)*1000)*('INV500 '!$O$3:$O$1990&lt;&gt;"M")*('INV500 '!$C$3:$C$1990=60))</f>
        <v>0</v>
      </c>
      <c r="E51" s="214" t="e">
        <f>VLOOKUP($B51,'INV500 '!$K$3:$U$1990,11,FALSE)/100</f>
        <v>#N/A</v>
      </c>
      <c r="G51" s="214" t="e">
        <f t="shared" si="1"/>
        <v>#N/A</v>
      </c>
      <c r="H51" s="360"/>
      <c r="I51" s="346"/>
      <c r="J51" s="346"/>
    </row>
    <row r="52" spans="1:10" ht="15.75" hidden="1" customHeight="1">
      <c r="A52" s="211" t="e">
        <f>VLOOKUP($B52,'INV500 '!$K$3:$U$1990,7,FALSE)</f>
        <v>#N/A</v>
      </c>
      <c r="B52" s="282">
        <v>17010612</v>
      </c>
      <c r="C52" s="247" t="e">
        <f>VLOOKUP(B52,'INV500 '!$K$3:$T$1990,10,FALSE)</f>
        <v>#N/A</v>
      </c>
      <c r="D52" s="295">
        <f>SUMPRODUCT('INV500 '!$V$3:$V$1990*((WebPosting!B52='INV500 '!$K$3:$K$1990)*1000)*('INV500 '!$O$3:$O$1990&lt;&gt;"M")*('INV500 '!$C$3:$C$1990=60))</f>
        <v>0</v>
      </c>
      <c r="E52" s="214" t="e">
        <f>VLOOKUP($B52,'INV500 '!$K$3:$U$1990,11,FALSE)/100</f>
        <v>#N/A</v>
      </c>
      <c r="G52" s="214" t="e">
        <f t="shared" si="1"/>
        <v>#N/A</v>
      </c>
      <c r="H52" s="360"/>
      <c r="I52" s="346"/>
      <c r="J52" s="346"/>
    </row>
    <row r="53" spans="1:10" ht="15.75" hidden="1" customHeight="1">
      <c r="A53" s="211" t="e">
        <f>VLOOKUP($B53,'INV500 '!$K$3:$U$1990,7,FALSE)</f>
        <v>#N/A</v>
      </c>
      <c r="B53" s="378">
        <v>17021012</v>
      </c>
      <c r="C53" s="247" t="e">
        <f>VLOOKUP(B53,'INV500 '!$K$3:$T$1990,10,FALSE)</f>
        <v>#N/A</v>
      </c>
      <c r="D53" s="295">
        <f>SUMPRODUCT('INV500 '!$V$3:$V$1990*((WebPosting!B53='INV500 '!$K$3:$K$1990)*1000)*('INV500 '!$O$3:$O$1990&lt;&gt;"M")*('INV500 '!$C$3:$C$1990=60))</f>
        <v>0</v>
      </c>
      <c r="E53" s="214" t="e">
        <f>VLOOKUP($B53,'INV500 '!$K$3:$U$1990,11,FALSE)/100</f>
        <v>#N/A</v>
      </c>
      <c r="G53" s="214" t="e">
        <f t="shared" si="1"/>
        <v>#N/A</v>
      </c>
      <c r="H53" s="360"/>
      <c r="I53" s="346"/>
      <c r="J53" s="346"/>
    </row>
    <row r="54" spans="1:10" ht="15.75" hidden="1" customHeight="1">
      <c r="A54" s="211" t="e">
        <f>VLOOKUP($B54,'INV500 '!$K$3:$U$1990,7,FALSE)</f>
        <v>#N/A</v>
      </c>
      <c r="B54" s="339"/>
      <c r="C54" s="247" t="e">
        <f>VLOOKUP(B54,'INV500 '!$K$3:$T$1990,10,FALSE)</f>
        <v>#N/A</v>
      </c>
      <c r="D54" s="295">
        <f>SUMPRODUCT('INV500 '!$V$3:$V$1990*((WebPosting!B54='INV500 '!$K$3:$K$1990)*1000)*('INV500 '!$O$3:$O$1990&lt;&gt;"M")*('INV500 '!$C$3:$C$1990=60))</f>
        <v>0</v>
      </c>
      <c r="E54" s="214" t="e">
        <f>VLOOKUP($B54,'INV500 '!$K$3:$U$1990,11,FALSE)/100</f>
        <v>#N/A</v>
      </c>
      <c r="G54" s="214" t="e">
        <f t="shared" si="1"/>
        <v>#N/A</v>
      </c>
      <c r="H54" s="360"/>
      <c r="I54" s="346"/>
      <c r="J54" s="346"/>
    </row>
    <row r="55" spans="1:10" ht="15.75" hidden="1" customHeight="1">
      <c r="A55" s="211" t="e">
        <f>VLOOKUP($B55,'INV500 '!$K$3:$U$1990,7,FALSE)</f>
        <v>#N/A</v>
      </c>
      <c r="B55" s="378">
        <v>17020609</v>
      </c>
      <c r="C55" s="247" t="e">
        <f>VLOOKUP(B55,'INV500 '!$K$3:$T$1990,10,FALSE)</f>
        <v>#N/A</v>
      </c>
      <c r="D55" s="295">
        <f>SUMPRODUCT('INV500 '!$V$3:$V$1990*((WebPosting!B55='INV500 '!$K$3:$K$1990)*1000)*('INV500 '!$O$3:$O$1990&lt;&gt;"M")*('INV500 '!$C$3:$C$1990=60))</f>
        <v>0</v>
      </c>
      <c r="E55" s="214" t="e">
        <f>VLOOKUP($B55,'INV500 '!$K$3:$U$1990,11,FALSE)/100</f>
        <v>#N/A</v>
      </c>
      <c r="G55" s="214" t="e">
        <f t="shared" si="1"/>
        <v>#N/A</v>
      </c>
      <c r="H55" s="360"/>
      <c r="I55" s="346"/>
      <c r="J55" s="346"/>
    </row>
    <row r="56" spans="1:10" ht="15.75" hidden="1" customHeight="1">
      <c r="A56" s="211" t="e">
        <f>VLOOKUP($B56,'INV500 '!$K$3:$U$1990,7,FALSE)</f>
        <v>#N/A</v>
      </c>
      <c r="B56" s="378">
        <v>17020702</v>
      </c>
      <c r="C56" s="247" t="e">
        <f>VLOOKUP(B56,'INV500 '!$K$3:$T$1990,10,FALSE)</f>
        <v>#N/A</v>
      </c>
      <c r="D56" s="295">
        <f>SUMPRODUCT('INV500 '!$V$3:$V$1990*((WebPosting!B56='INV500 '!$K$3:$K$1990)*1000)*('INV500 '!$O$3:$O$1990&lt;&gt;"M")*('INV500 '!$C$3:$C$1990=60))</f>
        <v>0</v>
      </c>
      <c r="E56" s="214" t="e">
        <f>VLOOKUP($B56,'INV500 '!$K$3:$U$1990,11,FALSE)/100</f>
        <v>#N/A</v>
      </c>
      <c r="G56" s="214" t="e">
        <f t="shared" si="1"/>
        <v>#N/A</v>
      </c>
      <c r="H56" s="360"/>
      <c r="I56" s="346"/>
      <c r="J56" s="346"/>
    </row>
    <row r="57" spans="1:10" ht="15.75" hidden="1" customHeight="1">
      <c r="A57" s="211" t="e">
        <f>VLOOKUP($B57,'INV500 '!$K$3:$U$1990,7,FALSE)</f>
        <v>#N/A</v>
      </c>
      <c r="B57" s="389">
        <v>17022401</v>
      </c>
      <c r="C57" s="247" t="e">
        <f>VLOOKUP(B57,'INV500 '!$K$3:$T$1990,10,FALSE)</f>
        <v>#N/A</v>
      </c>
      <c r="D57" s="295">
        <f>SUMPRODUCT('INV500 '!$V$3:$V$1990*((WebPosting!B57='INV500 '!$K$3:$K$1990)*1000)*('INV500 '!$O$3:$O$1990&lt;&gt;"M")*('INV500 '!$C$3:$C$1990=60))</f>
        <v>0</v>
      </c>
      <c r="E57" s="214" t="e">
        <f>VLOOKUP($B57,'INV500 '!$K$3:$U$1990,11,FALSE)/100</f>
        <v>#N/A</v>
      </c>
      <c r="G57" s="214" t="e">
        <f t="shared" si="1"/>
        <v>#N/A</v>
      </c>
      <c r="H57" s="360"/>
      <c r="I57" s="346"/>
      <c r="J57" s="346"/>
    </row>
    <row r="58" spans="1:10" ht="15.75" hidden="1" customHeight="1">
      <c r="A58" s="211" t="e">
        <f>VLOOKUP($B58,'INV500 '!$K$3:$U$1990,7,FALSE)</f>
        <v>#N/A</v>
      </c>
      <c r="B58" s="379">
        <v>17021410</v>
      </c>
      <c r="C58" s="247" t="e">
        <f>VLOOKUP(B58,'INV500 '!$K$3:$T$1990,10,FALSE)</f>
        <v>#N/A</v>
      </c>
      <c r="D58" s="295">
        <f>SUMPRODUCT('INV500 '!$V$3:$V$1990*((WebPosting!B58='INV500 '!$K$3:$K$1990)*1000)*('INV500 '!$O$3:$O$1990&lt;&gt;"M")*('INV500 '!$C$3:$C$1990=60))</f>
        <v>0</v>
      </c>
      <c r="E58" s="214" t="e">
        <f>VLOOKUP($B58,'INV500 '!$K$3:$U$1990,11,FALSE)/100</f>
        <v>#N/A</v>
      </c>
      <c r="G58" s="214" t="e">
        <f t="shared" ref="G58:G91" si="2">($D58*$E58)/$D$121</f>
        <v>#N/A</v>
      </c>
      <c r="H58" s="360"/>
      <c r="I58" s="346"/>
      <c r="J58" s="346"/>
    </row>
    <row r="59" spans="1:10" ht="15.75" hidden="1" customHeight="1">
      <c r="A59" s="211" t="e">
        <f>VLOOKUP($B59,'INV500 '!$K$3:$U$1990,7,FALSE)</f>
        <v>#N/A</v>
      </c>
      <c r="B59" s="390">
        <v>17022709</v>
      </c>
      <c r="C59" s="247" t="e">
        <f>VLOOKUP(B59,'INV500 '!$K$3:$T$1990,10,FALSE)</f>
        <v>#N/A</v>
      </c>
      <c r="D59" s="295">
        <f>SUMPRODUCT('INV500 '!$V$3:$V$1990*((WebPosting!B59='INV500 '!$K$3:$K$1990)*1000)*('INV500 '!$O$3:$O$1990&lt;&gt;"M")*('INV500 '!$C$3:$C$1990=60))</f>
        <v>0</v>
      </c>
      <c r="E59" s="214" t="e">
        <f>VLOOKUP($B59,'INV500 '!$K$3:$U$1990,11,FALSE)/100</f>
        <v>#N/A</v>
      </c>
      <c r="G59" s="214" t="e">
        <f t="shared" si="2"/>
        <v>#N/A</v>
      </c>
      <c r="H59" s="360"/>
      <c r="I59" s="346"/>
      <c r="J59" s="346"/>
    </row>
    <row r="60" spans="1:10" ht="15.75" hidden="1" customHeight="1">
      <c r="A60" s="211" t="e">
        <f>VLOOKUP($B60,'INV500 '!$K$3:$U$1990,7,FALSE)</f>
        <v>#N/A</v>
      </c>
      <c r="B60" s="363">
        <v>16122811</v>
      </c>
      <c r="C60" s="247" t="e">
        <f>VLOOKUP(B60,'INV500 '!$K$3:$T$1990,10,FALSE)</f>
        <v>#N/A</v>
      </c>
      <c r="D60" s="295">
        <f>SUMPRODUCT('INV500 '!$V$3:$V$1990*((WebPosting!B60='INV500 '!$K$3:$K$1990)*1000)*('INV500 '!$O$3:$O$1990&lt;&gt;"M")*('INV500 '!$C$3:$C$1990=60))</f>
        <v>0</v>
      </c>
      <c r="E60" s="214" t="e">
        <f>VLOOKUP($B60,'INV500 '!$K$3:$U$1990,11,FALSE)/100</f>
        <v>#N/A</v>
      </c>
      <c r="G60" s="214" t="e">
        <f t="shared" si="2"/>
        <v>#N/A</v>
      </c>
      <c r="H60" s="360"/>
      <c r="I60" s="346"/>
      <c r="J60" s="346"/>
    </row>
    <row r="61" spans="1:10" ht="15.75" hidden="1" customHeight="1">
      <c r="A61" s="211" t="str">
        <f>VLOOKUP($B61,'INV500 '!$K$3:$U$1990,7,FALSE)</f>
        <v xml:space="preserve">ADM/GREAT PACIFIC             </v>
      </c>
      <c r="B61" s="408">
        <v>17022205</v>
      </c>
      <c r="C61" s="247">
        <f>VLOOKUP(B61,'INV500 '!$K$3:$T$1990,10,FALSE)</f>
        <v>42825</v>
      </c>
      <c r="D61" s="295">
        <f>SUMPRODUCT('INV500 '!$V$3:$V$1990*((WebPosting!B61='INV500 '!$K$3:$K$1990)*1000)*('INV500 '!$O$3:$O$1990&lt;&gt;"M")*('INV500 '!$C$3:$C$1990=60))</f>
        <v>0</v>
      </c>
      <c r="E61" s="214">
        <f>VLOOKUP($B61,'INV500 '!$K$3:$U$1990,11,FALSE)/100</f>
        <v>7.1999999999999998E-3</v>
      </c>
      <c r="G61" s="214">
        <f t="shared" si="2"/>
        <v>0</v>
      </c>
      <c r="H61" s="360"/>
      <c r="I61" s="346"/>
      <c r="J61" s="346"/>
    </row>
    <row r="62" spans="1:10" ht="15.75" customHeight="1">
      <c r="A62" s="211" t="str">
        <f>VLOOKUP($B62,'INV500 '!$K$3:$U$1990,7,FALSE)</f>
        <v xml:space="preserve">APPLE/GREAT PACIFIC           </v>
      </c>
      <c r="B62" s="320">
        <v>16120509</v>
      </c>
      <c r="C62" s="247">
        <f>VLOOKUP(B62,'INV500 '!$K$3:$T$1990,10,FALSE)</f>
        <v>42828</v>
      </c>
      <c r="D62" s="295">
        <f>SUMPRODUCT('INV500 '!$V$3:$V$1990*((WebPosting!B62='INV500 '!$K$3:$K$1990)*1000)*('INV500 '!$O$3:$O$1990&lt;&gt;"M")*('INV500 '!$C$3:$C$1990=60))</f>
        <v>50000000</v>
      </c>
      <c r="E62" s="214">
        <f>VLOOKUP($B62,'INV500 '!$K$3:$U$1990,11,FALSE)/100</f>
        <v>7.8000000000000005E-3</v>
      </c>
      <c r="G62" s="214">
        <f t="shared" si="2"/>
        <v>1.3147692411421636E-4</v>
      </c>
      <c r="H62" s="360"/>
      <c r="I62" s="346"/>
      <c r="J62" s="346"/>
    </row>
    <row r="63" spans="1:10" ht="15.75" customHeight="1">
      <c r="A63" s="211" t="str">
        <f>VLOOKUP($B63,'INV500 '!$K$3:$U$1990,7,FALSE)</f>
        <v xml:space="preserve">ABN AMBRO/CITIGROUP           </v>
      </c>
      <c r="B63" s="282">
        <v>17010312</v>
      </c>
      <c r="C63" s="247">
        <f>VLOOKUP(B63,'INV500 '!$K$3:$T$1990,10,FALSE)</f>
        <v>42828</v>
      </c>
      <c r="D63" s="295">
        <f>SUMPRODUCT('INV500 '!$V$3:$V$1990*((WebPosting!B63='INV500 '!$K$3:$K$1990)*1000)*('INV500 '!$O$3:$O$1990&lt;&gt;"M")*('INV500 '!$C$3:$C$1990=60))</f>
        <v>15000000</v>
      </c>
      <c r="E63" s="214">
        <f>VLOOKUP($B63,'INV500 '!$K$3:$U$1990,11,FALSE)/100</f>
        <v>1.04E-2</v>
      </c>
      <c r="G63" s="214">
        <f t="shared" si="2"/>
        <v>5.2590769645686548E-5</v>
      </c>
      <c r="H63" s="360"/>
      <c r="I63" s="346"/>
      <c r="J63" s="346"/>
    </row>
    <row r="64" spans="1:10" ht="15.75" customHeight="1">
      <c r="A64" s="211" t="str">
        <f>VLOOKUP($B64,'INV500 '!$K$3:$U$1990,7,FALSE)</f>
        <v xml:space="preserve">ABN AMBRO/CITIGROUP           </v>
      </c>
      <c r="B64" s="282">
        <v>17010313</v>
      </c>
      <c r="C64" s="247">
        <f>VLOOKUP(B64,'INV500 '!$K$3:$T$1990,10,FALSE)</f>
        <v>42828</v>
      </c>
      <c r="D64" s="295">
        <f>SUMPRODUCT('INV500 '!$V$3:$V$1990*((WebPosting!B64='INV500 '!$K$3:$K$1990)*1000)*('INV500 '!$O$3:$O$1990&lt;&gt;"M")*('INV500 '!$C$3:$C$1990=60))</f>
        <v>200000000</v>
      </c>
      <c r="E64" s="214">
        <f>VLOOKUP($B64,'INV500 '!$K$3:$U$1990,11,FALSE)/100</f>
        <v>1.04E-2</v>
      </c>
      <c r="G64" s="214">
        <f t="shared" si="2"/>
        <v>7.012102619424873E-4</v>
      </c>
      <c r="H64" s="360"/>
      <c r="I64" s="346"/>
      <c r="J64" s="346"/>
    </row>
    <row r="65" spans="1:10" ht="15.75" customHeight="1">
      <c r="A65" s="211" t="str">
        <f>VLOOKUP($B65,'INV500 '!$K$3:$U$1990,7,FALSE)</f>
        <v xml:space="preserve">NESBITT BURNS SECURITIES INC. </v>
      </c>
      <c r="B65" s="282">
        <v>17010413</v>
      </c>
      <c r="C65" s="247">
        <f>VLOOKUP(B65,'INV500 '!$K$3:$T$1990,10,FALSE)</f>
        <v>42828</v>
      </c>
      <c r="D65" s="295">
        <f>SUMPRODUCT('INV500 '!$V$3:$V$1990*((WebPosting!B65='INV500 '!$K$3:$K$1990)*1000)*('INV500 '!$O$3:$O$1990&lt;&gt;"M")*('INV500 '!$C$3:$C$1990=60))</f>
        <v>50000000</v>
      </c>
      <c r="E65" s="214">
        <f>VLOOKUP($B65,'INV500 '!$K$3:$U$1990,11,FALSE)/100</f>
        <v>1.06E-2</v>
      </c>
      <c r="G65" s="214">
        <f t="shared" si="2"/>
        <v>1.7867376866803763E-4</v>
      </c>
      <c r="H65" s="360"/>
      <c r="I65" s="346"/>
      <c r="J65" s="346"/>
    </row>
    <row r="66" spans="1:10" ht="15.75" customHeight="1">
      <c r="A66" s="211" t="str">
        <f>VLOOKUP($B66,'INV500 '!$K$3:$U$1990,7,FALSE)</f>
        <v xml:space="preserve">TORONTO/MISCHLER              </v>
      </c>
      <c r="B66" s="282">
        <v>17010613</v>
      </c>
      <c r="C66" s="247">
        <f>VLOOKUP(B66,'INV500 '!$K$3:$T$1990,10,FALSE)</f>
        <v>42828</v>
      </c>
      <c r="D66" s="295">
        <f>SUMPRODUCT('INV500 '!$V$3:$V$1990*((WebPosting!B66='INV500 '!$K$3:$K$1990)*1000)*('INV500 '!$O$3:$O$1990&lt;&gt;"M")*('INV500 '!$C$3:$C$1990=60))</f>
        <v>50000000</v>
      </c>
      <c r="E66" s="214">
        <f>VLOOKUP($B66,'INV500 '!$K$3:$U$1990,11,FALSE)/100</f>
        <v>1.0200000000000001E-2</v>
      </c>
      <c r="G66" s="214">
        <f t="shared" si="2"/>
        <v>1.7193136230320602E-4</v>
      </c>
      <c r="H66" s="360"/>
      <c r="I66" s="346"/>
      <c r="J66" s="346"/>
    </row>
    <row r="67" spans="1:10" ht="15.75" customHeight="1">
      <c r="A67" s="211" t="str">
        <f>VLOOKUP($B67,'INV500 '!$K$3:$U$1990,7,FALSE)</f>
        <v xml:space="preserve">HOME DEPOT/CABRERA CAPITAL    </v>
      </c>
      <c r="B67" s="412">
        <v>17032402</v>
      </c>
      <c r="C67" s="247">
        <f>VLOOKUP(B67,'INV500 '!$K$3:$T$1990,10,FALSE)</f>
        <v>42828</v>
      </c>
      <c r="D67" s="295">
        <f>SUMPRODUCT('INV500 '!$V$3:$V$1990*((WebPosting!B67='INV500 '!$K$3:$K$1990)*1000)*('INV500 '!$O$3:$O$1990&lt;&gt;"M")*('INV500 '!$C$3:$C$1990=60))</f>
        <v>11300000</v>
      </c>
      <c r="E67" s="214">
        <f>VLOOKUP($B67,'INV500 '!$K$3:$U$1990,11,FALSE)/100</f>
        <v>8.199999999999999E-3</v>
      </c>
      <c r="G67" s="214">
        <f t="shared" si="2"/>
        <v>3.1237568688264834E-5</v>
      </c>
      <c r="H67" s="360"/>
      <c r="I67" s="346"/>
      <c r="J67" s="346"/>
    </row>
    <row r="68" spans="1:10" ht="15.75" customHeight="1">
      <c r="A68" s="211" t="str">
        <f>VLOOKUP($B68,'INV500 '!$K$3:$U$1990,7,FALSE)</f>
        <v xml:space="preserve">NESBITT BURNS SECURITIES INC. </v>
      </c>
      <c r="B68" s="228">
        <v>17032214</v>
      </c>
      <c r="C68" s="247">
        <f>VLOOKUP(B68,'INV500 '!$K$3:$T$1990,10,FALSE)</f>
        <v>42830</v>
      </c>
      <c r="D68" s="295">
        <f>SUMPRODUCT('INV500 '!$V$3:$V$1990*((WebPosting!B68='INV500 '!$K$3:$K$1990)*1000)*('INV500 '!$O$3:$O$1990&lt;&gt;"M")*('INV500 '!$C$3:$C$1990=60))</f>
        <v>50000000</v>
      </c>
      <c r="E68" s="214">
        <f>VLOOKUP($B68,'INV500 '!$K$3:$U$1990,11,FALSE)/100</f>
        <v>9.1999999999999998E-3</v>
      </c>
      <c r="G68" s="214">
        <f t="shared" si="2"/>
        <v>1.5507534639112701E-4</v>
      </c>
      <c r="H68" s="360"/>
      <c r="I68" s="346"/>
      <c r="J68" s="346"/>
    </row>
    <row r="69" spans="1:10" ht="15.75" customHeight="1">
      <c r="A69" s="211" t="str">
        <f>VLOOKUP($B69,'INV500 '!$K$3:$U$1990,7,FALSE)</f>
        <v xml:space="preserve">NESBITT BURNS SECURITIES INC. </v>
      </c>
      <c r="B69" s="399">
        <v>17032315</v>
      </c>
      <c r="C69" s="247">
        <f>VLOOKUP(B69,'INV500 '!$K$3:$T$1990,10,FALSE)</f>
        <v>42831</v>
      </c>
      <c r="D69" s="295">
        <f>SUMPRODUCT('INV500 '!$V$3:$V$1990*((WebPosting!B69='INV500 '!$K$3:$K$1990)*1000)*('INV500 '!$O$3:$O$1990&lt;&gt;"M")*('INV500 '!$C$3:$C$1990=60))</f>
        <v>100000000</v>
      </c>
      <c r="E69" s="214">
        <f>VLOOKUP($B69,'INV500 '!$K$3:$U$1990,11,FALSE)/100</f>
        <v>9.3999999999999986E-3</v>
      </c>
      <c r="G69" s="214">
        <f t="shared" si="2"/>
        <v>3.1689309914708556E-4</v>
      </c>
      <c r="H69" s="360"/>
      <c r="I69" s="346"/>
      <c r="J69" s="346"/>
    </row>
    <row r="70" spans="1:10" ht="15.75" customHeight="1">
      <c r="A70" s="211" t="str">
        <f>VLOOKUP($B70,'INV500 '!$K$3:$U$1990,7,FALSE)</f>
        <v xml:space="preserve">NESBITT BURNS SECURITIES INC. </v>
      </c>
      <c r="B70" s="412">
        <v>17032415</v>
      </c>
      <c r="C70" s="247">
        <f>VLOOKUP(B70,'INV500 '!$K$3:$T$1990,10,FALSE)</f>
        <v>42832</v>
      </c>
      <c r="D70" s="295">
        <f>SUMPRODUCT('INV500 '!$V$3:$V$1990*((WebPosting!B70='INV500 '!$K$3:$K$1990)*1000)*('INV500 '!$O$3:$O$1990&lt;&gt;"M")*('INV500 '!$C$3:$C$1990=60))</f>
        <v>100000000</v>
      </c>
      <c r="E70" s="214">
        <f>VLOOKUP($B70,'INV500 '!$K$3:$U$1990,11,FALSE)/100</f>
        <v>9.3999999999999986E-3</v>
      </c>
      <c r="G70" s="214">
        <f t="shared" si="2"/>
        <v>3.1689309914708556E-4</v>
      </c>
      <c r="H70" s="360"/>
      <c r="I70" s="346"/>
      <c r="J70" s="346"/>
    </row>
    <row r="71" spans="1:10" ht="15.75" customHeight="1">
      <c r="A71" s="211" t="str">
        <f>VLOOKUP($B71,'INV500 '!$K$3:$U$1990,7,FALSE)</f>
        <v xml:space="preserve">ING FUNDING/MISCHLER          </v>
      </c>
      <c r="B71" s="283">
        <v>16113010</v>
      </c>
      <c r="C71" s="247">
        <f>VLOOKUP(B71,'INV500 '!$K$3:$T$1990,10,FALSE)</f>
        <v>42856</v>
      </c>
      <c r="D71" s="295">
        <f>SUMPRODUCT('INV500 '!$V$3:$V$1990*((WebPosting!B71='INV500 '!$K$3:$K$1990)*1000)*('INV500 '!$O$3:$O$1990&lt;&gt;"M")*('INV500 '!$C$3:$C$1990=60))</f>
        <v>50000000</v>
      </c>
      <c r="E71" s="214">
        <f>VLOOKUP($B71,'INV500 '!$K$3:$U$1990,11,FALSE)/100</f>
        <v>1.1000000000000001E-2</v>
      </c>
      <c r="G71" s="214">
        <f t="shared" si="2"/>
        <v>1.8541617503286924E-4</v>
      </c>
      <c r="H71" s="360"/>
      <c r="I71" s="346"/>
      <c r="J71" s="346"/>
    </row>
    <row r="72" spans="1:10" ht="15.75" customHeight="1">
      <c r="A72" s="211" t="str">
        <f>VLOOKUP($B72,'INV500 '!$K$3:$U$1990,7,FALSE)</f>
        <v xml:space="preserve">NESBITT BURNS SECURITIES INC. </v>
      </c>
      <c r="B72" s="282">
        <v>17010414</v>
      </c>
      <c r="C72" s="247">
        <f>VLOOKUP(B72,'INV500 '!$K$3:$T$1990,10,FALSE)</f>
        <v>42856</v>
      </c>
      <c r="D72" s="295">
        <f>SUMPRODUCT('INV500 '!$V$3:$V$1990*((WebPosting!B72='INV500 '!$K$3:$K$1990)*1000)*('INV500 '!$O$3:$O$1990&lt;&gt;"M")*('INV500 '!$C$3:$C$1990=60))</f>
        <v>50000000</v>
      </c>
      <c r="E72" s="214">
        <f>VLOOKUP($B72,'INV500 '!$K$3:$U$1990,11,FALSE)/100</f>
        <v>1.1200000000000002E-2</v>
      </c>
      <c r="G72" s="214">
        <f t="shared" si="2"/>
        <v>1.8878737821528507E-4</v>
      </c>
      <c r="H72" s="360"/>
      <c r="I72" s="346"/>
      <c r="J72" s="346"/>
    </row>
    <row r="73" spans="1:10" ht="15.75" customHeight="1">
      <c r="A73" s="211" t="str">
        <f>VLOOKUP($B73,'INV500 '!$K$3:$U$1990,7,FALSE)</f>
        <v xml:space="preserve">ING FUNDING/CASTLEOAK         </v>
      </c>
      <c r="B73" s="282">
        <v>17010608</v>
      </c>
      <c r="C73" s="247">
        <f>VLOOKUP(B73,'INV500 '!$K$3:$T$1990,10,FALSE)</f>
        <v>42856</v>
      </c>
      <c r="D73" s="295">
        <f>SUMPRODUCT('INV500 '!$V$3:$V$1990*((WebPosting!B73='INV500 '!$K$3:$K$1990)*1000)*('INV500 '!$O$3:$O$1990&lt;&gt;"M")*('INV500 '!$C$3:$C$1990=60))</f>
        <v>50000000</v>
      </c>
      <c r="E73" s="214">
        <f>VLOOKUP($B73,'INV500 '!$K$3:$U$1990,11,FALSE)/100</f>
        <v>1.06E-2</v>
      </c>
      <c r="G73" s="214">
        <f t="shared" si="2"/>
        <v>1.7867376866803763E-4</v>
      </c>
      <c r="H73" s="360"/>
      <c r="I73" s="346"/>
      <c r="J73" s="346"/>
    </row>
    <row r="74" spans="1:10" ht="15.75" customHeight="1">
      <c r="A74" s="211" t="str">
        <f>VLOOKUP($B74,'INV500 '!$K$3:$U$1990,7,FALSE)</f>
        <v xml:space="preserve">ING FUNDING/ALAMO             </v>
      </c>
      <c r="B74" s="349">
        <v>17011712</v>
      </c>
      <c r="C74" s="247">
        <f>VLOOKUP(B74,'INV500 '!$K$3:$T$1990,10,FALSE)</f>
        <v>42856</v>
      </c>
      <c r="D74" s="295">
        <f>SUMPRODUCT('INV500 '!$V$3:$V$1990*((WebPosting!B74='INV500 '!$K$3:$K$1990)*1000)*('INV500 '!$O$3:$O$1990&lt;&gt;"M")*('INV500 '!$C$3:$C$1990=60))</f>
        <v>50000000</v>
      </c>
      <c r="E74" s="214">
        <f>VLOOKUP($B74,'INV500 '!$K$3:$U$1990,11,FALSE)/100</f>
        <v>9.7000000000000003E-3</v>
      </c>
      <c r="G74" s="214">
        <f t="shared" si="2"/>
        <v>1.635033543471665E-4</v>
      </c>
      <c r="H74" s="360"/>
      <c r="I74" s="346"/>
      <c r="J74" s="346"/>
    </row>
    <row r="75" spans="1:10" ht="15.75" customHeight="1">
      <c r="A75" s="211" t="str">
        <f>VLOOKUP($B75,'INV500 '!$K$3:$U$1990,7,FALSE)</f>
        <v xml:space="preserve">ING FUNDING/GREAT PACIFIC     </v>
      </c>
      <c r="B75" s="362">
        <v>17012012</v>
      </c>
      <c r="C75" s="247">
        <f>VLOOKUP(B75,'INV500 '!$K$3:$T$1990,10,FALSE)</f>
        <v>42856</v>
      </c>
      <c r="D75" s="295">
        <f>SUMPRODUCT('INV500 '!$V$3:$V$1990*((WebPosting!B75='INV500 '!$K$3:$K$1990)*1000)*('INV500 '!$O$3:$O$1990&lt;&gt;"M")*('INV500 '!$C$3:$C$1990=60))</f>
        <v>50000000</v>
      </c>
      <c r="E75" s="214">
        <f>VLOOKUP($B75,'INV500 '!$K$3:$U$1990,11,FALSE)/100</f>
        <v>9.8999999999999991E-3</v>
      </c>
      <c r="G75" s="214">
        <f t="shared" si="2"/>
        <v>1.6687455752958228E-4</v>
      </c>
      <c r="H75" s="360"/>
      <c r="I75" s="346"/>
      <c r="J75" s="346"/>
    </row>
    <row r="76" spans="1:10" ht="15.75" customHeight="1">
      <c r="A76" s="211" t="str">
        <f>VLOOKUP($B76,'INV500 '!$K$3:$U$1990,7,FALSE)</f>
        <v xml:space="preserve">APPLE/CASTLE OAK              </v>
      </c>
      <c r="B76" s="228">
        <v>17012509</v>
      </c>
      <c r="C76" s="247">
        <f>VLOOKUP(B76,'INV500 '!$K$3:$T$1990,10,FALSE)</f>
        <v>42856</v>
      </c>
      <c r="D76" s="295">
        <f>SUMPRODUCT('INV500 '!$V$3:$V$1990*((WebPosting!B76='INV500 '!$K$3:$K$1990)*1000)*('INV500 '!$O$3:$O$1990&lt;&gt;"M")*('INV500 '!$C$3:$C$1990=60))</f>
        <v>30000000</v>
      </c>
      <c r="E76" s="214">
        <f>VLOOKUP($B76,'INV500 '!$K$3:$U$1990,11,FALSE)/100</f>
        <v>8.5000000000000006E-3</v>
      </c>
      <c r="G76" s="214">
        <f t="shared" si="2"/>
        <v>8.5965681151603011E-5</v>
      </c>
      <c r="H76" s="360"/>
      <c r="I76" s="346"/>
      <c r="J76" s="346"/>
    </row>
    <row r="77" spans="1:10" ht="15.75" customHeight="1">
      <c r="A77" s="211" t="str">
        <f>VLOOKUP($B77,'INV500 '!$K$3:$U$1990,7,FALSE)</f>
        <v xml:space="preserve">APPLE/CASTLE OAK              </v>
      </c>
      <c r="B77" s="228">
        <v>17012510</v>
      </c>
      <c r="C77" s="247">
        <f>VLOOKUP(B77,'INV500 '!$K$3:$T$1990,10,FALSE)</f>
        <v>42856</v>
      </c>
      <c r="D77" s="295">
        <f>SUMPRODUCT('INV500 '!$V$3:$V$1990*((WebPosting!B77='INV500 '!$K$3:$K$1990)*1000)*('INV500 '!$O$3:$O$1990&lt;&gt;"M")*('INV500 '!$C$3:$C$1990=60))</f>
        <v>100000000</v>
      </c>
      <c r="E77" s="214">
        <f>VLOOKUP($B77,'INV500 '!$K$3:$U$1990,11,FALSE)/100</f>
        <v>8.5000000000000006E-3</v>
      </c>
      <c r="G77" s="214">
        <f t="shared" si="2"/>
        <v>2.8655227050534342E-4</v>
      </c>
      <c r="H77" s="360"/>
      <c r="I77" s="346"/>
      <c r="J77" s="346"/>
    </row>
    <row r="78" spans="1:10" ht="15.75" customHeight="1">
      <c r="A78" s="211" t="str">
        <f>VLOOKUP($B78,'INV500 '!$K$3:$U$1990,7,FALSE)</f>
        <v xml:space="preserve">ING FUNDING/MISCHLER          </v>
      </c>
      <c r="B78" s="283">
        <v>16120101</v>
      </c>
      <c r="C78" s="247">
        <f>VLOOKUP(B78,'INV500 '!$K$3:$T$1990,10,FALSE)</f>
        <v>42857</v>
      </c>
      <c r="D78" s="295">
        <f>SUMPRODUCT('INV500 '!$V$3:$V$1990*((WebPosting!B78='INV500 '!$K$3:$K$1990)*1000)*('INV500 '!$O$3:$O$1990&lt;&gt;"M")*('INV500 '!$C$3:$C$1990=60))</f>
        <v>50000000</v>
      </c>
      <c r="E78" s="214">
        <f>VLOOKUP($B78,'INV500 '!$K$3:$U$1990,11,FALSE)/100</f>
        <v>1.1000000000000001E-2</v>
      </c>
      <c r="G78" s="214">
        <f t="shared" si="2"/>
        <v>1.8541617503286924E-4</v>
      </c>
      <c r="H78" s="360"/>
      <c r="I78" s="346"/>
      <c r="J78" s="346"/>
    </row>
    <row r="79" spans="1:10" ht="15.75" customHeight="1">
      <c r="A79" s="211" t="str">
        <f>VLOOKUP($B79,'INV500 '!$K$3:$U$1990,7,FALSE)</f>
        <v xml:space="preserve">ING FUNDING/GREAT PACIFIC     </v>
      </c>
      <c r="B79" s="397">
        <v>17031511</v>
      </c>
      <c r="C79" s="247">
        <f>VLOOKUP(B79,'INV500 '!$K$3:$T$1990,10,FALSE)</f>
        <v>42867</v>
      </c>
      <c r="D79" s="295">
        <f>SUMPRODUCT('INV500 '!$V$3:$V$1990*((WebPosting!B79='INV500 '!$K$3:$K$1990)*1000)*('INV500 '!$O$3:$O$1990&lt;&gt;"M")*('INV500 '!$C$3:$C$1990=60))</f>
        <v>50000000</v>
      </c>
      <c r="E79" s="214">
        <f>VLOOKUP($B79,'INV500 '!$K$3:$U$1990,11,FALSE)/100</f>
        <v>8.8999999999999999E-3</v>
      </c>
      <c r="G79" s="214">
        <f t="shared" si="2"/>
        <v>1.5001854161750329E-4</v>
      </c>
      <c r="H79" s="360"/>
      <c r="I79" s="346"/>
      <c r="J79" s="346"/>
    </row>
    <row r="80" spans="1:10" ht="15.75" customHeight="1">
      <c r="A80" s="211" t="str">
        <f>VLOOKUP($B80,'INV500 '!$K$3:$U$1990,7,FALSE)</f>
        <v xml:space="preserve">ABN AMRO/GREAT PACIFIC        </v>
      </c>
      <c r="B80" s="283">
        <v>16120211</v>
      </c>
      <c r="C80" s="247">
        <f>VLOOKUP(B80,'INV500 '!$K$3:$T$1990,10,FALSE)</f>
        <v>42887</v>
      </c>
      <c r="D80" s="295">
        <f>SUMPRODUCT('INV500 '!$V$3:$V$1990*((WebPosting!B80='INV500 '!$K$3:$K$1990)*1000)*('INV500 '!$O$3:$O$1990&lt;&gt;"M")*('INV500 '!$C$3:$C$1990=60))</f>
        <v>10000000</v>
      </c>
      <c r="E80" s="214">
        <f>VLOOKUP($B80,'INV500 '!$K$3:$U$1990,11,FALSE)/100</f>
        <v>1.2500000000000001E-2</v>
      </c>
      <c r="G80" s="214">
        <f t="shared" si="2"/>
        <v>4.2140039780197555E-5</v>
      </c>
      <c r="H80" s="360"/>
      <c r="I80" s="346"/>
      <c r="J80" s="346"/>
    </row>
    <row r="81" spans="1:10" ht="15.75" customHeight="1">
      <c r="A81" s="211" t="str">
        <f>VLOOKUP($B81,'INV500 '!$K$3:$U$1990,7,FALSE)</f>
        <v xml:space="preserve">PFIZER/ GREAT PACIFIC         </v>
      </c>
      <c r="B81" s="320">
        <v>16120612</v>
      </c>
      <c r="C81" s="247">
        <f>VLOOKUP(B81,'INV500 '!$K$3:$T$1990,10,FALSE)</f>
        <v>42887</v>
      </c>
      <c r="D81" s="295">
        <f>SUMPRODUCT('INV500 '!$V$3:$V$1990*((WebPosting!B81='INV500 '!$K$3:$K$1990)*1000)*('INV500 '!$O$3:$O$1990&lt;&gt;"M")*('INV500 '!$C$3:$C$1990=60))</f>
        <v>50000000</v>
      </c>
      <c r="E81" s="214">
        <f>VLOOKUP($B81,'INV500 '!$K$3:$U$1990,11,FALSE)/100</f>
        <v>9.0000000000000011E-3</v>
      </c>
      <c r="G81" s="214">
        <f t="shared" si="2"/>
        <v>1.517041432087112E-4</v>
      </c>
      <c r="H81" s="360"/>
      <c r="I81" s="346"/>
      <c r="J81" s="346"/>
    </row>
    <row r="82" spans="1:10" ht="15.75" customHeight="1">
      <c r="A82" s="211" t="str">
        <f>VLOOKUP($B82,'INV500 '!$K$3:$U$1990,7,FALSE)</f>
        <v xml:space="preserve">PFIZER/MISCHLER               </v>
      </c>
      <c r="B82" s="320">
        <v>16120615</v>
      </c>
      <c r="C82" s="247">
        <f>VLOOKUP(B82,'INV500 '!$K$3:$T$1990,10,FALSE)</f>
        <v>42887</v>
      </c>
      <c r="D82" s="295">
        <f>SUMPRODUCT('INV500 '!$V$3:$V$1990*((WebPosting!B82='INV500 '!$K$3:$K$1990)*1000)*('INV500 '!$O$3:$O$1990&lt;&gt;"M")*('INV500 '!$C$3:$C$1990=60))</f>
        <v>50000000</v>
      </c>
      <c r="E82" s="214">
        <f>VLOOKUP($B82,'INV500 '!$K$3:$U$1990,11,FALSE)/100</f>
        <v>9.1999999999999998E-3</v>
      </c>
      <c r="G82" s="214">
        <f t="shared" si="2"/>
        <v>1.5507534639112701E-4</v>
      </c>
      <c r="H82" s="360"/>
      <c r="I82" s="346"/>
      <c r="J82" s="346"/>
    </row>
    <row r="83" spans="1:10" ht="15.75" customHeight="1">
      <c r="A83" s="211" t="str">
        <f>VLOOKUP($B83,'INV500 '!$K$3:$U$1990,7,FALSE)</f>
        <v xml:space="preserve">PFIZER/ GREAT PACIFIC         </v>
      </c>
      <c r="B83" s="320">
        <v>16120709</v>
      </c>
      <c r="C83" s="247">
        <f>VLOOKUP(B83,'INV500 '!$K$3:$T$1990,10,FALSE)</f>
        <v>42887</v>
      </c>
      <c r="D83" s="295">
        <f>SUMPRODUCT('INV500 '!$V$3:$V$1990*((WebPosting!B83='INV500 '!$K$3:$K$1990)*1000)*('INV500 '!$O$3:$O$1990&lt;&gt;"M")*('INV500 '!$C$3:$C$1990=60))</f>
        <v>50000000</v>
      </c>
      <c r="E83" s="214">
        <f>VLOOKUP($B83,'INV500 '!$K$3:$U$1990,11,FALSE)/100</f>
        <v>9.4999999999999998E-3</v>
      </c>
      <c r="G83" s="214">
        <f t="shared" si="2"/>
        <v>1.601321511647507E-4</v>
      </c>
      <c r="H83" s="360"/>
      <c r="I83" s="346"/>
      <c r="J83" s="346"/>
    </row>
    <row r="84" spans="1:10" ht="15.75" customHeight="1">
      <c r="A84" s="211" t="str">
        <f>VLOOKUP($B84,'INV500 '!$K$3:$U$1990,7,FALSE)</f>
        <v xml:space="preserve">PFIZER/ GREAT PACIFIC         </v>
      </c>
      <c r="B84" s="320">
        <v>16120710</v>
      </c>
      <c r="C84" s="247">
        <f>VLOOKUP(B84,'INV500 '!$K$3:$T$1990,10,FALSE)</f>
        <v>42887</v>
      </c>
      <c r="D84" s="295">
        <f>SUMPRODUCT('INV500 '!$V$3:$V$1990*((WebPosting!B84='INV500 '!$K$3:$K$1990)*1000)*('INV500 '!$O$3:$O$1990&lt;&gt;"M")*('INV500 '!$C$3:$C$1990=60))</f>
        <v>50000000</v>
      </c>
      <c r="E84" s="214">
        <f>VLOOKUP($B84,'INV500 '!$K$3:$U$1990,11,FALSE)/100</f>
        <v>9.4999999999999998E-3</v>
      </c>
      <c r="G84" s="214">
        <f t="shared" si="2"/>
        <v>1.601321511647507E-4</v>
      </c>
      <c r="H84" s="360"/>
      <c r="I84" s="346"/>
      <c r="J84" s="346"/>
    </row>
    <row r="85" spans="1:10" ht="15.75" customHeight="1">
      <c r="A85" s="211" t="str">
        <f>VLOOKUP($B85,'INV500 '!$K$3:$U$1990,7,FALSE)</f>
        <v xml:space="preserve">PFIZER/CASTLEOAK              </v>
      </c>
      <c r="B85" s="320">
        <v>16120715</v>
      </c>
      <c r="C85" s="247">
        <f>VLOOKUP(B85,'INV500 '!$K$3:$T$1990,10,FALSE)</f>
        <v>42887</v>
      </c>
      <c r="D85" s="295">
        <f>SUMPRODUCT('INV500 '!$V$3:$V$1990*((WebPosting!B85='INV500 '!$K$3:$K$1990)*1000)*('INV500 '!$O$3:$O$1990&lt;&gt;"M")*('INV500 '!$C$3:$C$1990=60))</f>
        <v>50000000</v>
      </c>
      <c r="E85" s="214">
        <f>VLOOKUP($B85,'INV500 '!$K$3:$U$1990,11,FALSE)/100</f>
        <v>9.300000000000001E-3</v>
      </c>
      <c r="G85" s="214">
        <f t="shared" si="2"/>
        <v>1.5676094798233492E-4</v>
      </c>
      <c r="H85" s="360"/>
      <c r="I85" s="346"/>
      <c r="J85" s="346"/>
    </row>
    <row r="86" spans="1:10" ht="15.75" customHeight="1">
      <c r="A86" s="211" t="str">
        <f>VLOOKUP($B86,'INV500 '!$K$3:$U$1990,7,FALSE)</f>
        <v xml:space="preserve">ING FUNDING/GREAT PACIFIC     </v>
      </c>
      <c r="B86" s="339">
        <v>16121209</v>
      </c>
      <c r="C86" s="247">
        <f>VLOOKUP(B86,'INV500 '!$K$3:$T$1990,10,FALSE)</f>
        <v>42887</v>
      </c>
      <c r="D86" s="295">
        <f>SUMPRODUCT('INV500 '!$V$3:$V$1990*((WebPosting!B86='INV500 '!$K$3:$K$1990)*1000)*('INV500 '!$O$3:$O$1990&lt;&gt;"M")*('INV500 '!$C$3:$C$1990=60))</f>
        <v>50000000</v>
      </c>
      <c r="E86" s="214">
        <f>VLOOKUP($B86,'INV500 '!$K$3:$U$1990,11,FALSE)/100</f>
        <v>1.1399999999999999E-2</v>
      </c>
      <c r="G86" s="214">
        <f t="shared" si="2"/>
        <v>1.9215858139770079E-4</v>
      </c>
      <c r="H86" s="360"/>
      <c r="I86" s="346"/>
      <c r="J86" s="346"/>
    </row>
    <row r="87" spans="1:10" ht="15.75" customHeight="1">
      <c r="A87" s="211" t="str">
        <f>VLOOKUP($B87,'INV500 '!$K$3:$U$1990,7,FALSE)</f>
        <v xml:space="preserve">ING FUNDING/CASTLEOAK         </v>
      </c>
      <c r="B87" s="321">
        <v>17010916</v>
      </c>
      <c r="C87" s="247">
        <f>VLOOKUP(B87,'INV500 '!$K$3:$T$1990,10,FALSE)</f>
        <v>42887</v>
      </c>
      <c r="D87" s="295">
        <f>SUMPRODUCT('INV500 '!$V$3:$V$1990*((WebPosting!B87='INV500 '!$K$3:$K$1990)*1000)*('INV500 '!$O$3:$O$1990&lt;&gt;"M")*('INV500 '!$C$3:$C$1990=60))</f>
        <v>50000000</v>
      </c>
      <c r="E87" s="214">
        <f>VLOOKUP($B87,'INV500 '!$K$3:$U$1990,11,FALSE)/100</f>
        <v>1.1699999999999999E-2</v>
      </c>
      <c r="G87" s="214">
        <f t="shared" si="2"/>
        <v>1.9721538617132451E-4</v>
      </c>
      <c r="H87" s="360"/>
      <c r="I87" s="346"/>
      <c r="J87" s="346"/>
    </row>
    <row r="88" spans="1:10" ht="15.75" customHeight="1">
      <c r="A88" s="211" t="str">
        <f>VLOOKUP($B88,'INV500 '!$K$3:$U$1990,7,FALSE)</f>
        <v xml:space="preserve">ING FUNDING/CASTLEOAK         </v>
      </c>
      <c r="B88" s="321">
        <v>17011010</v>
      </c>
      <c r="C88" s="247">
        <f>VLOOKUP(B88,'INV500 '!$K$3:$T$1990,10,FALSE)</f>
        <v>42887</v>
      </c>
      <c r="D88" s="295">
        <f>SUMPRODUCT('INV500 '!$V$3:$V$1990*((WebPosting!B88='INV500 '!$K$3:$K$1990)*1000)*('INV500 '!$O$3:$O$1990&lt;&gt;"M")*('INV500 '!$C$3:$C$1990=60))</f>
        <v>50000000</v>
      </c>
      <c r="E88" s="214">
        <f>VLOOKUP($B88,'INV500 '!$K$3:$U$1990,11,FALSE)/100</f>
        <v>1.1699999999999999E-2</v>
      </c>
      <c r="G88" s="214">
        <f t="shared" si="2"/>
        <v>1.9721538617132451E-4</v>
      </c>
      <c r="H88" s="360"/>
      <c r="I88" s="346"/>
      <c r="J88" s="346"/>
    </row>
    <row r="89" spans="1:10" ht="15.75" customHeight="1">
      <c r="A89" s="211" t="str">
        <f>VLOOKUP($B89,'INV500 '!$K$3:$U$1990,7,FALSE)</f>
        <v xml:space="preserve">ABN AMRO/GREAT PACIFIC        </v>
      </c>
      <c r="B89" s="282">
        <v>17010610</v>
      </c>
      <c r="C89" s="247">
        <f>VLOOKUP(B89,'INV500 '!$K$3:$T$1990,10,FALSE)</f>
        <v>42891</v>
      </c>
      <c r="D89" s="295">
        <f>SUMPRODUCT('INV500 '!$V$3:$V$1990*((WebPosting!B89='INV500 '!$K$3:$K$1990)*1000)*('INV500 '!$O$3:$O$1990&lt;&gt;"M")*('INV500 '!$C$3:$C$1990=60))</f>
        <v>50000000</v>
      </c>
      <c r="E89" s="214">
        <f>VLOOKUP($B89,'INV500 '!$K$3:$U$1990,11,FALSE)/100</f>
        <v>1.2500000000000001E-2</v>
      </c>
      <c r="G89" s="214">
        <f t="shared" si="2"/>
        <v>2.1070019890098777E-4</v>
      </c>
      <c r="H89" s="360"/>
      <c r="I89" s="346"/>
      <c r="J89" s="346"/>
    </row>
    <row r="90" spans="1:10" ht="15.75" customHeight="1">
      <c r="A90" s="211" t="str">
        <f>VLOOKUP($B90,'INV500 '!$K$3:$U$1990,7,FALSE)</f>
        <v>ALLIANCE BERNSTEIN/CABRERA CAP</v>
      </c>
      <c r="B90" s="406">
        <v>17030801</v>
      </c>
      <c r="C90" s="247">
        <f>VLOOKUP(B90,'INV500 '!$K$3:$T$1990,10,FALSE)</f>
        <v>42892</v>
      </c>
      <c r="D90" s="295">
        <f>SUMPRODUCT('INV500 '!$V$3:$V$1990*((WebPosting!B90='INV500 '!$K$3:$K$1990)*1000)*('INV500 '!$O$3:$O$1990&lt;&gt;"M")*('INV500 '!$C$3:$C$1990=60))</f>
        <v>25000000</v>
      </c>
      <c r="E90" s="214">
        <f>VLOOKUP($B90,'INV500 '!$K$3:$U$1990,11,FALSE)/100</f>
        <v>1.0700000000000001E-2</v>
      </c>
      <c r="G90" s="214">
        <f t="shared" si="2"/>
        <v>9.0179685129622786E-5</v>
      </c>
      <c r="H90" s="360"/>
      <c r="I90" s="346"/>
      <c r="J90" s="346"/>
    </row>
    <row r="91" spans="1:10" ht="15.75" customHeight="1">
      <c r="A91" s="211" t="str">
        <f>VLOOKUP($B91,'INV500 '!$K$3:$U$1990,7,FALSE)</f>
        <v xml:space="preserve">ALLIANCE BERNSTEIN/MISCHLER   </v>
      </c>
      <c r="B91" s="406">
        <v>17030910</v>
      </c>
      <c r="C91" s="247">
        <f>VLOOKUP(B91,'INV500 '!$K$3:$T$1990,10,FALSE)</f>
        <v>42893</v>
      </c>
      <c r="D91" s="295">
        <f>SUMPRODUCT('INV500 '!$V$3:$V$1990*((WebPosting!B91='INV500 '!$K$3:$K$1990)*1000)*('INV500 '!$O$3:$O$1990&lt;&gt;"M")*('INV500 '!$C$3:$C$1990=60))</f>
        <v>25000000</v>
      </c>
      <c r="E91" s="214">
        <f>VLOOKUP($B91,'INV500 '!$K$3:$U$1990,11,FALSE)/100</f>
        <v>1.0800000000000001E-2</v>
      </c>
      <c r="G91" s="214">
        <f t="shared" si="2"/>
        <v>9.1022485925226716E-5</v>
      </c>
      <c r="H91" s="360"/>
      <c r="I91" s="346"/>
      <c r="J91" s="346"/>
    </row>
    <row r="92" spans="1:10" ht="15.75" customHeight="1">
      <c r="A92" s="211" t="str">
        <f>VLOOKUP($B92,'INV500 '!$K$3:$U$1990,7,FALSE)</f>
        <v xml:space="preserve">ABN AMRO/GREAT PACIFIC        </v>
      </c>
      <c r="B92" s="405">
        <v>17020106</v>
      </c>
      <c r="C92" s="247">
        <f>VLOOKUP(B92,'INV500 '!$K$3:$T$1990,10,FALSE)</f>
        <v>42908</v>
      </c>
      <c r="D92" s="295">
        <f>SUMPRODUCT('INV500 '!$V$3:$V$1990*((WebPosting!B92='INV500 '!$K$3:$K$1990)*1000)*('INV500 '!$O$3:$O$1990&lt;&gt;"M")*('INV500 '!$C$3:$C$1990=60))</f>
        <v>35000000</v>
      </c>
      <c r="E92" s="214">
        <f>VLOOKUP($B92,'INV500 '!$K$3:$U$1990,11,FALSE)/100</f>
        <v>1.1000000000000001E-2</v>
      </c>
      <c r="G92" s="214">
        <f t="shared" ref="G92:G116" si="3">($D92*$E92)/$D$121</f>
        <v>1.2979132252300849E-4</v>
      </c>
      <c r="H92" s="360"/>
      <c r="I92" s="346"/>
      <c r="J92" s="346"/>
    </row>
    <row r="93" spans="1:10" ht="15.75" customHeight="1">
      <c r="A93" s="211" t="str">
        <f>VLOOKUP($B93,'INV500 '!$K$3:$U$1990,7,FALSE)</f>
        <v xml:space="preserve">ING FUNDING/GREAT PACIFIC     </v>
      </c>
      <c r="B93" s="321">
        <v>17010909</v>
      </c>
      <c r="C93" s="247">
        <f>VLOOKUP(B93,'INV500 '!$K$3:$T$1990,10,FALSE)</f>
        <v>42919</v>
      </c>
      <c r="D93" s="295">
        <f>SUMPRODUCT('INV500 '!$V$3:$V$1990*((WebPosting!B93='INV500 '!$K$3:$K$1990)*1000)*('INV500 '!$O$3:$O$1990&lt;&gt;"M")*('INV500 '!$C$3:$C$1990=60))</f>
        <v>50000000</v>
      </c>
      <c r="E93" s="214">
        <f>VLOOKUP($B93,'INV500 '!$K$3:$U$1990,11,FALSE)/100</f>
        <v>1.1699999999999999E-2</v>
      </c>
      <c r="G93" s="214">
        <f t="shared" si="3"/>
        <v>1.9721538617132451E-4</v>
      </c>
      <c r="H93" s="360"/>
      <c r="I93" s="346"/>
      <c r="J93" s="346"/>
    </row>
    <row r="94" spans="1:10" ht="15.75" customHeight="1">
      <c r="A94" s="211" t="str">
        <f>VLOOKUP($B94,'INV500 '!$K$3:$U$1990,7,FALSE)</f>
        <v xml:space="preserve">ING FUNDING/ALAMO             </v>
      </c>
      <c r="B94" s="350">
        <v>17012312</v>
      </c>
      <c r="C94" s="247">
        <f>VLOOKUP(B94,'INV500 '!$K$3:$T$1990,10,FALSE)</f>
        <v>42919</v>
      </c>
      <c r="D94" s="295">
        <f>SUMPRODUCT('INV500 '!$V$3:$V$1990*((WebPosting!B94='INV500 '!$K$3:$K$1990)*1000)*('INV500 '!$O$3:$O$1990&lt;&gt;"M")*('INV500 '!$C$3:$C$1990=60))</f>
        <v>50000000</v>
      </c>
      <c r="E94" s="214">
        <f>VLOOKUP($B94,'INV500 '!$K$3:$U$1990,11,FALSE)/100</f>
        <v>1.2E-2</v>
      </c>
      <c r="G94" s="214">
        <f t="shared" si="3"/>
        <v>2.0227219094494825E-4</v>
      </c>
      <c r="H94" s="360"/>
      <c r="I94" s="346"/>
      <c r="J94" s="346"/>
    </row>
    <row r="95" spans="1:10" ht="15.75" customHeight="1">
      <c r="A95" s="211" t="str">
        <f>VLOOKUP($B95,'INV500 '!$K$3:$U$1990,7,FALSE)</f>
        <v xml:space="preserve">TORONTO DOMINION HDG USA      </v>
      </c>
      <c r="B95" s="407">
        <v>17020903</v>
      </c>
      <c r="C95" s="247">
        <f>VLOOKUP(B95,'INV500 '!$K$3:$T$1990,10,FALSE)</f>
        <v>42919</v>
      </c>
      <c r="D95" s="295">
        <f>SUMPRODUCT('INV500 '!$V$3:$V$1990*((WebPosting!B95='INV500 '!$K$3:$K$1990)*1000)*('INV500 '!$O$3:$O$1990&lt;&gt;"M")*('INV500 '!$C$3:$C$1990=60))</f>
        <v>50000000</v>
      </c>
      <c r="E95" s="214">
        <f>VLOOKUP($B95,'INV500 '!$K$3:$U$1990,11,FALSE)/100</f>
        <v>9.7999999999999997E-3</v>
      </c>
      <c r="G95" s="214">
        <f t="shared" si="3"/>
        <v>1.6518895593837442E-4</v>
      </c>
      <c r="H95" s="360"/>
      <c r="I95" s="346"/>
      <c r="J95" s="346"/>
    </row>
    <row r="96" spans="1:10" ht="15.75" customHeight="1">
      <c r="A96" s="211" t="str">
        <f>VLOOKUP($B96,'INV500 '!$K$3:$U$1990,7,FALSE)</f>
        <v xml:space="preserve">TORONTO DOMINION HDG USA      </v>
      </c>
      <c r="B96" s="403">
        <v>17031002</v>
      </c>
      <c r="C96" s="247">
        <f>VLOOKUP(B96,'INV500 '!$K$3:$T$1990,10,FALSE)</f>
        <v>42919</v>
      </c>
      <c r="D96" s="295">
        <f>SUMPRODUCT('INV500 '!$V$3:$V$1990*((WebPosting!B96='INV500 '!$K$3:$K$1990)*1000)*('INV500 '!$O$3:$O$1990&lt;&gt;"M")*('INV500 '!$C$3:$C$1990=60))</f>
        <v>100000000</v>
      </c>
      <c r="E96" s="214">
        <f>VLOOKUP($B96,'INV500 '!$K$3:$U$1990,11,FALSE)/100</f>
        <v>1.09E-2</v>
      </c>
      <c r="G96" s="214">
        <f t="shared" si="3"/>
        <v>3.6746114688332264E-4</v>
      </c>
      <c r="H96" s="360"/>
      <c r="I96" s="346"/>
      <c r="J96" s="346"/>
    </row>
    <row r="97" spans="1:10" ht="15.75" customHeight="1">
      <c r="A97" s="211" t="str">
        <f>VLOOKUP($B97,'INV500 '!$K$3:$U$1990,7,FALSE)</f>
        <v xml:space="preserve">TORONTO DOMINION HDG USA      </v>
      </c>
      <c r="B97" s="397">
        <v>17031302</v>
      </c>
      <c r="C97" s="247">
        <f>VLOOKUP(B97,'INV500 '!$K$3:$T$1990,10,FALSE)</f>
        <v>42919</v>
      </c>
      <c r="D97" s="295">
        <f>SUMPRODUCT('INV500 '!$V$3:$V$1990*((WebPosting!B97='INV500 '!$K$3:$K$1990)*1000)*('INV500 '!$O$3:$O$1990&lt;&gt;"M")*('INV500 '!$C$3:$C$1990=60))</f>
        <v>50000000</v>
      </c>
      <c r="E97" s="214">
        <f>VLOOKUP($B97,'INV500 '!$K$3:$U$1990,11,FALSE)/100</f>
        <v>1.09E-2</v>
      </c>
      <c r="G97" s="214">
        <f t="shared" si="3"/>
        <v>1.8373057344166132E-4</v>
      </c>
      <c r="H97" s="360"/>
      <c r="I97" s="346"/>
      <c r="J97" s="346"/>
    </row>
    <row r="98" spans="1:10" ht="15.75" customHeight="1">
      <c r="A98" s="211" t="str">
        <f>VLOOKUP($B98,'INV500 '!$K$3:$U$1990,7,FALSE)</f>
        <v xml:space="preserve">TORONTO DOMINION HDG USA      </v>
      </c>
      <c r="B98" s="399">
        <v>17032313</v>
      </c>
      <c r="C98" s="247">
        <f>VLOOKUP(B98,'INV500 '!$K$3:$T$1990,10,FALSE)</f>
        <v>42919</v>
      </c>
      <c r="D98" s="295">
        <f>SUMPRODUCT('INV500 '!$V$3:$V$1990*((WebPosting!B98='INV500 '!$K$3:$K$1990)*1000)*('INV500 '!$O$3:$O$1990&lt;&gt;"M")*('INV500 '!$C$3:$C$1990=60))</f>
        <v>100000000</v>
      </c>
      <c r="E98" s="214">
        <f>VLOOKUP($B98,'INV500 '!$K$3:$U$1990,11,FALSE)/100</f>
        <v>1.15E-2</v>
      </c>
      <c r="G98" s="214">
        <f t="shared" si="3"/>
        <v>3.8768836597781746E-4</v>
      </c>
      <c r="H98" s="360"/>
      <c r="I98" s="346"/>
      <c r="J98" s="346"/>
    </row>
    <row r="99" spans="1:10" ht="15.75" customHeight="1">
      <c r="A99" s="211" t="str">
        <f>VLOOKUP($B99,'INV500 '!$K$3:$U$1990,7,FALSE)</f>
        <v>TORONTO DOMINION HDG/CABRERA C</v>
      </c>
      <c r="B99" s="407">
        <v>17020801</v>
      </c>
      <c r="C99" s="247">
        <f>VLOOKUP(B99,'INV500 '!$K$3:$T$1990,10,FALSE)</f>
        <v>42923</v>
      </c>
      <c r="D99" s="295">
        <f>SUMPRODUCT('INV500 '!$V$3:$V$1990*((WebPosting!B99='INV500 '!$K$3:$K$1990)*1000)*('INV500 '!$O$3:$O$1990&lt;&gt;"M")*('INV500 '!$C$3:$C$1990=60))</f>
        <v>50000000</v>
      </c>
      <c r="E99" s="214">
        <f>VLOOKUP($B99,'INV500 '!$K$3:$U$1990,11,FALSE)/100</f>
        <v>9.5999999999999992E-3</v>
      </c>
      <c r="G99" s="214">
        <f t="shared" si="3"/>
        <v>1.6181775275595859E-4</v>
      </c>
      <c r="H99" s="360"/>
      <c r="I99" s="346"/>
      <c r="J99" s="346"/>
    </row>
    <row r="100" spans="1:10" ht="15.75" customHeight="1">
      <c r="A100" s="211" t="str">
        <f>VLOOKUP($B100,'INV500 '!$K$3:$U$1990,7,FALSE)</f>
        <v xml:space="preserve">ABN AMRO/GREAT PACIFIC        </v>
      </c>
      <c r="B100" s="321">
        <v>17011001</v>
      </c>
      <c r="C100" s="247">
        <f>VLOOKUP(B100,'INV500 '!$K$3:$T$1990,10,FALSE)</f>
        <v>42926</v>
      </c>
      <c r="D100" s="295">
        <f>SUMPRODUCT('INV500 '!$V$3:$V$1990*((WebPosting!B100='INV500 '!$K$3:$K$1990)*1000)*('INV500 '!$O$3:$O$1990&lt;&gt;"M")*('INV500 '!$C$3:$C$1990=60))</f>
        <v>40000000</v>
      </c>
      <c r="E100" s="214">
        <f>VLOOKUP($B100,'INV500 '!$K$3:$U$1990,11,FALSE)/100</f>
        <v>1.3300000000000001E-2</v>
      </c>
      <c r="G100" s="214">
        <f t="shared" si="3"/>
        <v>1.793480093045208E-4</v>
      </c>
      <c r="H100" s="360"/>
      <c r="I100" s="346"/>
      <c r="J100" s="346"/>
    </row>
    <row r="101" spans="1:10" ht="15.75" customHeight="1">
      <c r="A101" s="211" t="str">
        <f>VLOOKUP($B101,'INV500 '!$K$3:$U$1990,7,FALSE)</f>
        <v xml:space="preserve">PFIZER/MISCHLER               </v>
      </c>
      <c r="B101" s="407">
        <v>17020701</v>
      </c>
      <c r="C101" s="247">
        <f>VLOOKUP(B101,'INV500 '!$K$3:$T$1990,10,FALSE)</f>
        <v>42926</v>
      </c>
      <c r="D101" s="295">
        <f>SUMPRODUCT('INV500 '!$V$3:$V$1990*((WebPosting!B101='INV500 '!$K$3:$K$1990)*1000)*('INV500 '!$O$3:$O$1990&lt;&gt;"M")*('INV500 '!$C$3:$C$1990=60))</f>
        <v>50000000</v>
      </c>
      <c r="E101" s="214">
        <f>VLOOKUP($B101,'INV500 '!$K$3:$U$1990,11,FALSE)/100</f>
        <v>9.5999999999999992E-3</v>
      </c>
      <c r="G101" s="214">
        <f t="shared" si="3"/>
        <v>1.6181775275595859E-4</v>
      </c>
      <c r="H101" s="360"/>
      <c r="I101" s="346"/>
      <c r="J101" s="346"/>
    </row>
    <row r="102" spans="1:10" ht="15.75" customHeight="1">
      <c r="A102" s="211" t="str">
        <f>VLOOKUP($B102,'INV500 '!$K$3:$U$1990,7,FALSE)</f>
        <v xml:space="preserve">PFIZER/ GREAT PACIFIC         </v>
      </c>
      <c r="B102" s="407">
        <v>17020802</v>
      </c>
      <c r="C102" s="247">
        <f>VLOOKUP(B102,'INV500 '!$K$3:$T$1990,10,FALSE)</f>
        <v>42926</v>
      </c>
      <c r="D102" s="295">
        <f>SUMPRODUCT('INV500 '!$V$3:$V$1990*((WebPosting!B102='INV500 '!$K$3:$K$1990)*1000)*('INV500 '!$O$3:$O$1990&lt;&gt;"M")*('INV500 '!$C$3:$C$1990=60))</f>
        <v>50000000</v>
      </c>
      <c r="E102" s="214">
        <f>VLOOKUP($B102,'INV500 '!$K$3:$U$1990,11,FALSE)/100</f>
        <v>9.4999999999999998E-3</v>
      </c>
      <c r="G102" s="214">
        <f t="shared" si="3"/>
        <v>1.601321511647507E-4</v>
      </c>
      <c r="H102" s="360"/>
      <c r="I102" s="346"/>
      <c r="J102" s="346"/>
    </row>
    <row r="103" spans="1:10" ht="15.75" customHeight="1">
      <c r="A103" s="211" t="str">
        <f>VLOOKUP($B103,'INV500 '!$K$3:$U$1990,7,FALSE)</f>
        <v xml:space="preserve">COCACOLA/ALAMO                </v>
      </c>
      <c r="B103" s="407">
        <v>17020610</v>
      </c>
      <c r="C103" s="247">
        <f>VLOOKUP(B103,'INV500 '!$K$3:$T$1990,10,FALSE)</f>
        <v>42937</v>
      </c>
      <c r="D103" s="295">
        <f>SUMPRODUCT('INV500 '!$V$3:$V$1990*((WebPosting!B103='INV500 '!$K$3:$K$1990)*1000)*('INV500 '!$O$3:$O$1990&lt;&gt;"M")*('INV500 '!$C$3:$C$1990=60))</f>
        <v>50000000</v>
      </c>
      <c r="E103" s="214">
        <f>VLOOKUP($B103,'INV500 '!$K$3:$U$1990,11,FALSE)/100</f>
        <v>9.5999999999999992E-3</v>
      </c>
      <c r="G103" s="214">
        <f t="shared" si="3"/>
        <v>1.6181775275595859E-4</v>
      </c>
      <c r="H103" s="360"/>
      <c r="I103" s="346"/>
      <c r="J103" s="346"/>
    </row>
    <row r="104" spans="1:10" ht="15.75" customHeight="1">
      <c r="A104" s="211" t="str">
        <f>VLOOKUP($B104,'INV500 '!$K$3:$U$1990,7,FALSE)</f>
        <v xml:space="preserve">COCACOLA/GREAT PACIFIC        </v>
      </c>
      <c r="B104" s="407">
        <v>17020703</v>
      </c>
      <c r="C104" s="247">
        <f>VLOOKUP(B104,'INV500 '!$K$3:$T$1990,10,FALSE)</f>
        <v>42937</v>
      </c>
      <c r="D104" s="295">
        <f>SUMPRODUCT('INV500 '!$V$3:$V$1990*((WebPosting!B104='INV500 '!$K$3:$K$1990)*1000)*('INV500 '!$O$3:$O$1990&lt;&gt;"M")*('INV500 '!$C$3:$C$1990=60))</f>
        <v>50000000</v>
      </c>
      <c r="E104" s="214">
        <f>VLOOKUP($B104,'INV500 '!$K$3:$U$1990,11,FALSE)/100</f>
        <v>9.7000000000000003E-3</v>
      </c>
      <c r="G104" s="214">
        <f t="shared" si="3"/>
        <v>1.635033543471665E-4</v>
      </c>
      <c r="H104" s="360"/>
      <c r="I104" s="346"/>
      <c r="J104" s="346"/>
    </row>
    <row r="105" spans="1:10" ht="15.75" customHeight="1">
      <c r="A105" s="211" t="str">
        <f>VLOOKUP($B105,'INV500 '!$K$3:$U$1990,7,FALSE)</f>
        <v xml:space="preserve">ABN AMRO/GREAT PACIFIC        </v>
      </c>
      <c r="B105" s="405">
        <v>17020107</v>
      </c>
      <c r="C105" s="247">
        <f>VLOOKUP(B105,'INV500 '!$K$3:$T$1990,10,FALSE)</f>
        <v>42948</v>
      </c>
      <c r="D105" s="295">
        <f>SUMPRODUCT('INV500 '!$V$3:$V$1990*((WebPosting!B105='INV500 '!$K$3:$K$1990)*1000)*('INV500 '!$O$3:$O$1990&lt;&gt;"M")*('INV500 '!$C$3:$C$1990=60))</f>
        <v>30000000</v>
      </c>
      <c r="E105" s="214">
        <f>VLOOKUP($B105,'INV500 '!$K$3:$U$1990,11,FALSE)/100</f>
        <v>1.2800000000000001E-2</v>
      </c>
      <c r="G105" s="214">
        <f t="shared" si="3"/>
        <v>1.2945420220476688E-4</v>
      </c>
      <c r="H105" s="360"/>
      <c r="I105" s="346"/>
      <c r="J105" s="346"/>
    </row>
    <row r="106" spans="1:10" ht="15.75" customHeight="1">
      <c r="A106" s="211" t="str">
        <f>VLOOKUP($B106,'INV500 '!$K$3:$U$1990,7,FALSE)</f>
        <v xml:space="preserve">COCACOLA/WILLIAMS CAP         </v>
      </c>
      <c r="B106" s="407">
        <v>17020917</v>
      </c>
      <c r="C106" s="247">
        <f>VLOOKUP(B106,'INV500 '!$K$3:$T$1990,10,FALSE)</f>
        <v>42948</v>
      </c>
      <c r="D106" s="295">
        <f>SUMPRODUCT('INV500 '!$V$3:$V$1990*((WebPosting!B106='INV500 '!$K$3:$K$1990)*1000)*('INV500 '!$O$3:$O$1990&lt;&gt;"M")*('INV500 '!$C$3:$C$1990=60))</f>
        <v>50000000</v>
      </c>
      <c r="E106" s="214">
        <f>VLOOKUP($B106,'INV500 '!$K$3:$U$1990,11,FALSE)/100</f>
        <v>9.7000000000000003E-3</v>
      </c>
      <c r="G106" s="214">
        <f t="shared" si="3"/>
        <v>1.635033543471665E-4</v>
      </c>
      <c r="H106" s="360"/>
      <c r="I106" s="346"/>
      <c r="J106" s="346"/>
    </row>
    <row r="107" spans="1:10" ht="15.75" customHeight="1">
      <c r="A107" s="211" t="str">
        <f>VLOOKUP($B107,'INV500 '!$K$3:$U$1990,7,FALSE)</f>
        <v xml:space="preserve">COCACOLA/WILLIAMS CAP         </v>
      </c>
      <c r="B107" s="407">
        <v>17021011</v>
      </c>
      <c r="C107" s="247">
        <f>VLOOKUP(B107,'INV500 '!$K$3:$T$1990,10,FALSE)</f>
        <v>42948</v>
      </c>
      <c r="D107" s="295">
        <f>SUMPRODUCT('INV500 '!$V$3:$V$1990*((WebPosting!B107='INV500 '!$K$3:$K$1990)*1000)*('INV500 '!$O$3:$O$1990&lt;&gt;"M")*('INV500 '!$C$3:$C$1990=60))</f>
        <v>50000000</v>
      </c>
      <c r="E107" s="214">
        <f>VLOOKUP($B107,'INV500 '!$K$3:$U$1990,11,FALSE)/100</f>
        <v>9.7000000000000003E-3</v>
      </c>
      <c r="G107" s="214">
        <f t="shared" si="3"/>
        <v>1.635033543471665E-4</v>
      </c>
      <c r="H107" s="360"/>
      <c r="I107" s="346"/>
      <c r="J107" s="346"/>
    </row>
    <row r="108" spans="1:10" ht="15.75" customHeight="1">
      <c r="A108" s="211" t="str">
        <f>VLOOKUP($B108,'INV500 '!$K$3:$U$1990,7,FALSE)</f>
        <v xml:space="preserve">COCACOLA/WILLIAMS CAP         </v>
      </c>
      <c r="B108" s="411">
        <v>17021411</v>
      </c>
      <c r="C108" s="247">
        <f>VLOOKUP(B108,'INV500 '!$K$3:$T$1990,10,FALSE)</f>
        <v>42948</v>
      </c>
      <c r="D108" s="295">
        <f>SUMPRODUCT('INV500 '!$V$3:$V$1990*((WebPosting!B108='INV500 '!$K$3:$K$1990)*1000)*('INV500 '!$O$3:$O$1990&lt;&gt;"M")*('INV500 '!$C$3:$C$1990=60))</f>
        <v>50000000</v>
      </c>
      <c r="E108" s="214">
        <f>VLOOKUP($B108,'INV500 '!$K$3:$U$1990,11,FALSE)/100</f>
        <v>9.7000000000000003E-3</v>
      </c>
      <c r="G108" s="214">
        <f t="shared" si="3"/>
        <v>1.635033543471665E-4</v>
      </c>
      <c r="H108" s="360"/>
      <c r="I108" s="346"/>
      <c r="J108" s="346"/>
    </row>
    <row r="109" spans="1:10" ht="15.75" customHeight="1">
      <c r="A109" s="211" t="str">
        <f>VLOOKUP($B109,'INV500 '!$K$3:$U$1990,7,FALSE)</f>
        <v xml:space="preserve">COCACOLA/WILLIAMS CAP         </v>
      </c>
      <c r="B109" s="411">
        <v>17021501</v>
      </c>
      <c r="C109" s="247">
        <f>VLOOKUP(B109,'INV500 '!$K$3:$T$1990,10,FALSE)</f>
        <v>42948</v>
      </c>
      <c r="D109" s="295">
        <f>SUMPRODUCT('INV500 '!$V$3:$V$1990*((WebPosting!B109='INV500 '!$K$3:$K$1990)*1000)*('INV500 '!$O$3:$O$1990&lt;&gt;"M")*('INV500 '!$C$3:$C$1990=60))</f>
        <v>50000000</v>
      </c>
      <c r="E109" s="214">
        <f>VLOOKUP($B109,'INV500 '!$K$3:$U$1990,11,FALSE)/100</f>
        <v>9.7000000000000003E-3</v>
      </c>
      <c r="G109" s="214">
        <f t="shared" si="3"/>
        <v>1.635033543471665E-4</v>
      </c>
      <c r="H109" s="360"/>
      <c r="I109" s="346"/>
      <c r="J109" s="346"/>
    </row>
    <row r="110" spans="1:10" ht="15.75" customHeight="1">
      <c r="A110" s="211" t="str">
        <f>VLOOKUP($B110,'INV500 '!$K$3:$U$1990,7,FALSE)</f>
        <v xml:space="preserve">COCACOLA/WILLIAMS CAP         </v>
      </c>
      <c r="B110" s="397">
        <v>17031315</v>
      </c>
      <c r="C110" s="247">
        <f>VLOOKUP(B110,'INV500 '!$K$3:$T$1990,10,FALSE)</f>
        <v>42948</v>
      </c>
      <c r="D110" s="295">
        <f>SUMPRODUCT('INV500 '!$V$3:$V$1990*((WebPosting!B110='INV500 '!$K$3:$K$1990)*1000)*('INV500 '!$O$3:$O$1990&lt;&gt;"M")*('INV500 '!$C$3:$C$1990=60))</f>
        <v>25000000</v>
      </c>
      <c r="E110" s="214">
        <f>VLOOKUP($B110,'INV500 '!$K$3:$U$1990,11,FALSE)/100</f>
        <v>0.01</v>
      </c>
      <c r="G110" s="214">
        <f t="shared" si="3"/>
        <v>8.428007956039511E-5</v>
      </c>
      <c r="H110" s="360"/>
      <c r="I110" s="346"/>
      <c r="J110" s="346"/>
    </row>
    <row r="111" spans="1:10" ht="15.75" customHeight="1">
      <c r="A111" s="211" t="str">
        <f>VLOOKUP($B111,'INV500 '!$K$3:$U$1990,7,FALSE)</f>
        <v xml:space="preserve">CHEVRON/MISCHLER              </v>
      </c>
      <c r="B111" s="407">
        <v>17021001</v>
      </c>
      <c r="C111" s="247">
        <f>VLOOKUP(B111,'INV500 '!$K$3:$T$1990,10,FALSE)</f>
        <v>42955</v>
      </c>
      <c r="D111" s="295">
        <f>SUMPRODUCT('INV500 '!$V$3:$V$1990*((WebPosting!B111='INV500 '!$K$3:$K$1990)*1000)*('INV500 '!$O$3:$O$1990&lt;&gt;"M")*('INV500 '!$C$3:$C$1990=60))</f>
        <v>50000000</v>
      </c>
      <c r="E111" s="214">
        <f>VLOOKUP($B111,'INV500 '!$K$3:$U$1990,11,FALSE)/100</f>
        <v>1.03E-2</v>
      </c>
      <c r="G111" s="214">
        <f t="shared" si="3"/>
        <v>1.7361696389441391E-4</v>
      </c>
      <c r="H111" s="360"/>
      <c r="I111" s="346"/>
      <c r="J111" s="346"/>
    </row>
    <row r="112" spans="1:10" ht="15.75" customHeight="1">
      <c r="A112" s="211" t="str">
        <f>VLOOKUP($B112,'INV500 '!$K$3:$U$1990,7,FALSE)</f>
        <v xml:space="preserve">CHEVRON/CASTLEOAK             </v>
      </c>
      <c r="B112" s="407">
        <v>17021013</v>
      </c>
      <c r="C112" s="247">
        <f>VLOOKUP(B112,'INV500 '!$K$3:$T$1990,10,FALSE)</f>
        <v>42956</v>
      </c>
      <c r="D112" s="295">
        <f>SUMPRODUCT('INV500 '!$V$3:$V$1990*((WebPosting!B112='INV500 '!$K$3:$K$1990)*1000)*('INV500 '!$O$3:$O$1990&lt;&gt;"M")*('INV500 '!$C$3:$C$1990=60))</f>
        <v>50000000</v>
      </c>
      <c r="E112" s="214">
        <f>VLOOKUP($B112,'INV500 '!$K$3:$U$1990,11,FALSE)/100</f>
        <v>1.0200000000000001E-2</v>
      </c>
      <c r="G112" s="214">
        <f t="shared" si="3"/>
        <v>1.7193136230320602E-4</v>
      </c>
      <c r="H112" s="360"/>
      <c r="I112" s="346"/>
      <c r="J112" s="346"/>
    </row>
    <row r="113" spans="1:10" ht="15.75" customHeight="1">
      <c r="A113" s="211" t="str">
        <f>VLOOKUP($B113,'INV500 '!$K$3:$U$1990,7,FALSE)</f>
        <v xml:space="preserve">COCACOLA/WILLIAMS CAP         </v>
      </c>
      <c r="B113" s="408">
        <v>17022204</v>
      </c>
      <c r="C113" s="247">
        <f>VLOOKUP(B113,'INV500 '!$K$3:$T$1990,10,FALSE)</f>
        <v>42979</v>
      </c>
      <c r="D113" s="295">
        <f>SUMPRODUCT('INV500 '!$V$3:$V$1990*((WebPosting!B113='INV500 '!$K$3:$K$1990)*1000)*('INV500 '!$O$3:$O$1990&lt;&gt;"M")*('INV500 '!$C$3:$C$1990=60))</f>
        <v>25000000</v>
      </c>
      <c r="E113" s="214">
        <f>VLOOKUP($B113,'INV500 '!$K$3:$U$1990,11,FALSE)/100</f>
        <v>1.01E-2</v>
      </c>
      <c r="G113" s="214">
        <f t="shared" si="3"/>
        <v>8.5122880355999054E-5</v>
      </c>
      <c r="H113" s="360"/>
      <c r="I113" s="346"/>
      <c r="J113" s="346"/>
    </row>
    <row r="114" spans="1:10" ht="15.75" customHeight="1">
      <c r="A114" s="211" t="str">
        <f>VLOOKUP($B114,'INV500 '!$K$3:$U$1990,7,FALSE)</f>
        <v xml:space="preserve">COCACOLA/WILLIAMS CAP         </v>
      </c>
      <c r="B114" s="408">
        <v>17022314</v>
      </c>
      <c r="C114" s="247">
        <f>VLOOKUP(B114,'INV500 '!$K$3:$T$1990,10,FALSE)</f>
        <v>42979</v>
      </c>
      <c r="D114" s="295">
        <f>SUMPRODUCT('INV500 '!$V$3:$V$1990*((WebPosting!B114='INV500 '!$K$3:$K$1990)*1000)*('INV500 '!$O$3:$O$1990&lt;&gt;"M")*('INV500 '!$C$3:$C$1990=60))</f>
        <v>25000000</v>
      </c>
      <c r="E114" s="214">
        <f>VLOOKUP($B114,'INV500 '!$K$3:$U$1990,11,FALSE)/100</f>
        <v>1.01E-2</v>
      </c>
      <c r="G114" s="214">
        <f t="shared" si="3"/>
        <v>8.5122880355999054E-5</v>
      </c>
      <c r="H114" s="360"/>
      <c r="I114" s="346"/>
      <c r="J114" s="346"/>
    </row>
    <row r="115" spans="1:10" ht="15.75" customHeight="1">
      <c r="A115" s="211" t="str">
        <f>VLOOKUP($B115,'INV500 '!$K$3:$U$1990,7,FALSE)</f>
        <v xml:space="preserve">CHEVRON/CASTLEOAK             </v>
      </c>
      <c r="B115" s="404">
        <v>17022402</v>
      </c>
      <c r="C115" s="247">
        <f>VLOOKUP(B115,'INV500 '!$K$3:$T$1990,10,FALSE)</f>
        <v>42979</v>
      </c>
      <c r="D115" s="295">
        <f>SUMPRODUCT('INV500 '!$V$3:$V$1990*((WebPosting!B115='INV500 '!$K$3:$K$1990)*1000)*('INV500 '!$O$3:$O$1990&lt;&gt;"M")*('INV500 '!$C$3:$C$1990=60))</f>
        <v>50000000</v>
      </c>
      <c r="E115" s="214">
        <f>VLOOKUP($B115,'INV500 '!$K$3:$U$1990,11,FALSE)/100</f>
        <v>1.04E-2</v>
      </c>
      <c r="G115" s="214">
        <f t="shared" si="3"/>
        <v>1.7530256548562183E-4</v>
      </c>
      <c r="H115" s="360"/>
      <c r="I115" s="346"/>
      <c r="J115" s="346"/>
    </row>
    <row r="116" spans="1:10" ht="15.75" customHeight="1">
      <c r="A116" s="211" t="str">
        <f>VLOOKUP($B116,'INV500 '!$K$3:$U$1990,7,FALSE)</f>
        <v xml:space="preserve">COCACOLA/WILLIAMS CAP         </v>
      </c>
      <c r="B116" s="409">
        <v>17022710</v>
      </c>
      <c r="C116" s="247">
        <f>VLOOKUP(B116,'INV500 '!$K$3:$T$1990,10,FALSE)</f>
        <v>42979</v>
      </c>
      <c r="D116" s="295">
        <f>SUMPRODUCT('INV500 '!$V$3:$V$1990*((WebPosting!B116='INV500 '!$K$3:$K$1990)*1000)*('INV500 '!$O$3:$O$1990&lt;&gt;"M")*('INV500 '!$C$3:$C$1990=60))</f>
        <v>50000000</v>
      </c>
      <c r="E116" s="214">
        <f>VLOOKUP($B116,'INV500 '!$K$3:$U$1990,11,FALSE)/100</f>
        <v>1.0200000000000001E-2</v>
      </c>
      <c r="G116" s="214">
        <f t="shared" si="3"/>
        <v>1.7193136230320602E-4</v>
      </c>
      <c r="H116" s="360"/>
      <c r="I116" s="346"/>
      <c r="J116" s="346"/>
    </row>
    <row r="117" spans="1:10" ht="15.75" customHeight="1">
      <c r="A117" s="211" t="str">
        <f>VLOOKUP($B117,'INV500 '!$K$3:$U$1990,7,FALSE)</f>
        <v xml:space="preserve">ABN AMRO/GREAT PACIFIC        </v>
      </c>
      <c r="B117" s="400">
        <v>17030101</v>
      </c>
      <c r="C117" s="247">
        <f>VLOOKUP(B117,'INV500 '!$K$3:$T$1990,10,FALSE)</f>
        <v>42979</v>
      </c>
      <c r="D117" s="295">
        <f>SUMPRODUCT('INV500 '!$V$3:$V$1990*((WebPosting!B117='INV500 '!$K$3:$K$1990)*1000)*('INV500 '!$O$3:$O$1990&lt;&gt;"M")*('INV500 '!$C$3:$C$1990=60))</f>
        <v>100000000</v>
      </c>
      <c r="E117" s="214">
        <f>VLOOKUP($B117,'INV500 '!$K$3:$U$1990,11,FALSE)/100</f>
        <v>1.355E-2</v>
      </c>
      <c r="G117" s="214">
        <f t="shared" ref="G117:G119" si="4">($D117*$E117)/$D$121</f>
        <v>4.567980312173415E-4</v>
      </c>
      <c r="H117" s="360"/>
      <c r="I117" s="346"/>
      <c r="J117" s="346"/>
    </row>
    <row r="118" spans="1:10" ht="15.75" customHeight="1">
      <c r="A118" s="211" t="str">
        <f>VLOOKUP($B118,'INV500 '!$K$3:$U$1990,7,FALSE)</f>
        <v xml:space="preserve">ABN AMRO/GREAT PACIFIC        </v>
      </c>
      <c r="B118" s="400">
        <v>17030102</v>
      </c>
      <c r="C118" s="247">
        <f>VLOOKUP(B118,'INV500 '!$K$3:$T$1990,10,FALSE)</f>
        <v>42979</v>
      </c>
      <c r="D118" s="295">
        <f>SUMPRODUCT('INV500 '!$V$3:$V$1990*((WebPosting!B118='INV500 '!$K$3:$K$1990)*1000)*('INV500 '!$O$3:$O$1990&lt;&gt;"M")*('INV500 '!$C$3:$C$1990=60))</f>
        <v>20000000</v>
      </c>
      <c r="E118" s="214">
        <f>VLOOKUP($B118,'INV500 '!$K$3:$U$1990,11,FALSE)/100</f>
        <v>1.355E-2</v>
      </c>
      <c r="G118" s="214">
        <f t="shared" si="4"/>
        <v>9.1359606243468299E-5</v>
      </c>
      <c r="H118" s="360"/>
      <c r="I118" s="346"/>
      <c r="J118" s="346"/>
    </row>
    <row r="119" spans="1:10" ht="15.75" hidden="1" customHeight="1">
      <c r="A119" s="211" t="e">
        <f>VLOOKUP($B119,'INV500 '!$K$3:$U$1990,7,FALSE)</f>
        <v>#N/A</v>
      </c>
      <c r="B119" s="409">
        <v>17022713</v>
      </c>
      <c r="C119" s="247" t="e">
        <f>VLOOKUP(B119,'INV500 '!$K$3:$T$1990,10,FALSE)</f>
        <v>#N/A</v>
      </c>
      <c r="D119" s="295">
        <f>SUMPRODUCT('INV500 '!$V$3:$V$1990*((WebPosting!B119='INV500 '!$K$3:$K$1990)*1000)*('INV500 '!$O$3:$O$1990&lt;&gt;"M")*('INV500 '!$C$3:$C$1990=60))</f>
        <v>0</v>
      </c>
      <c r="E119" s="214" t="e">
        <f>VLOOKUP($B119,'INV500 '!$K$3:$U$1990,11,FALSE)/100</f>
        <v>#N/A</v>
      </c>
      <c r="G119" s="214" t="e">
        <f t="shared" si="4"/>
        <v>#N/A</v>
      </c>
      <c r="H119" s="360"/>
      <c r="I119" s="346"/>
      <c r="J119" s="346"/>
    </row>
    <row r="120" spans="1:10" ht="6.75" customHeight="1">
      <c r="B120" s="361"/>
      <c r="C120" s="247"/>
      <c r="D120" s="295"/>
      <c r="G120" s="214">
        <f>($D120*$E120)/$D$121</f>
        <v>0</v>
      </c>
      <c r="H120" s="360"/>
      <c r="I120" s="346"/>
      <c r="J120" s="346"/>
    </row>
    <row r="121" spans="1:10" ht="13.5" customHeight="1">
      <c r="A121" s="359" t="s">
        <v>293</v>
      </c>
      <c r="C121" s="358"/>
      <c r="D121" s="352">
        <f>SUM(D26:D120)</f>
        <v>2966300000</v>
      </c>
      <c r="E121" s="211"/>
      <c r="F121" s="211"/>
      <c r="G121" s="211"/>
      <c r="H121" s="360"/>
      <c r="I121" s="346"/>
      <c r="J121" s="346"/>
    </row>
    <row r="122" spans="1:10">
      <c r="A122" s="359"/>
      <c r="C122" s="358"/>
      <c r="D122" s="291"/>
      <c r="E122" s="211"/>
      <c r="F122" s="211"/>
      <c r="G122" s="211"/>
      <c r="I122" s="346"/>
      <c r="J122" s="346"/>
    </row>
    <row r="123" spans="1:10">
      <c r="C123" s="247"/>
      <c r="D123" s="291"/>
      <c r="E123" s="211"/>
      <c r="F123" s="211"/>
      <c r="G123" s="211"/>
      <c r="I123" s="346"/>
      <c r="J123" s="346"/>
    </row>
    <row r="124" spans="1:10" ht="18">
      <c r="A124" s="440" t="s">
        <v>292</v>
      </c>
      <c r="B124" s="440"/>
      <c r="C124" s="440"/>
      <c r="D124" s="440"/>
      <c r="E124" s="440"/>
      <c r="F124" s="357"/>
      <c r="G124" s="357"/>
      <c r="I124" s="346"/>
      <c r="J124" s="346"/>
    </row>
    <row r="125" spans="1:10">
      <c r="A125" s="273" t="s">
        <v>258</v>
      </c>
      <c r="B125" s="272"/>
      <c r="C125" s="247"/>
      <c r="D125" s="356" t="s">
        <v>291</v>
      </c>
      <c r="E125" s="355" t="s">
        <v>290</v>
      </c>
      <c r="F125" s="355"/>
      <c r="G125" s="355"/>
      <c r="I125" s="346"/>
      <c r="J125" s="346"/>
    </row>
    <row r="126" spans="1:10" ht="15.75" hidden="1" customHeight="1">
      <c r="A126" s="211" t="s">
        <v>289</v>
      </c>
      <c r="C126" s="353">
        <v>42795</v>
      </c>
      <c r="D126" s="295">
        <f>SUMPRODUCT('Time Deposits'!$S$2:$S$249*('Time Deposits'!$R$2:$R$249&gt;=WebPosting!$C126)*('Time Deposits'!$R$2:$R$249&lt;=EOMONTH(WebPosting!$C126,0)))</f>
        <v>0</v>
      </c>
      <c r="E126" s="214" t="e">
        <f>(SUMPRODUCT('Time Deposits'!$AA$2:$AA$208*('Time Deposits'!$R$2:$R$208&gt;=WebPosting!$C126)*('Time Deposits'!$R$2:$R$208&lt;=EOMONTH(WebPosting!$C126,0)))/$D126)*100</f>
        <v>#DIV/0!</v>
      </c>
      <c r="I126" s="346"/>
      <c r="J126" s="346"/>
    </row>
    <row r="127" spans="1:10" ht="15.75" customHeight="1">
      <c r="A127" s="211" t="s">
        <v>289</v>
      </c>
      <c r="C127" s="353">
        <v>42826</v>
      </c>
      <c r="D127" s="295">
        <f>SUMPRODUCT('Time Deposits'!$S$2:$S$249*('Time Deposits'!$R$2:$R$249&gt;=WebPosting!$C127)*('Time Deposits'!$R$2:$R$249&lt;=EOMONTH(WebPosting!$C127,0)))</f>
        <v>22425000</v>
      </c>
      <c r="E127" s="214">
        <f>(SUMPRODUCT('Time Deposits'!$AA$2:$AA$208*('Time Deposits'!$R$2:$R$208&gt;=WebPosting!$C127)*('Time Deposits'!$R$2:$R$208&lt;=EOMONTH(WebPosting!$C127,0)))/$D127)*100</f>
        <v>3.8121293199554068E-3</v>
      </c>
      <c r="I127" s="346"/>
      <c r="J127" s="346"/>
    </row>
    <row r="128" spans="1:10" ht="15.75" customHeight="1">
      <c r="A128" s="211" t="s">
        <v>289</v>
      </c>
      <c r="C128" s="353">
        <v>42856</v>
      </c>
      <c r="D128" s="295">
        <f>SUMPRODUCT('Time Deposits'!$S$2:$S$249*('Time Deposits'!$R$2:$R$249&gt;=WebPosting!$C128)*('Time Deposits'!$R$2:$R$249&lt;=EOMONTH(WebPosting!$C128,0)))</f>
        <v>11383600</v>
      </c>
      <c r="E128" s="214">
        <f>(SUMPRODUCT('Time Deposits'!$AA$2:$AA$208*('Time Deposits'!$R$2:$R$208&gt;=WebPosting!$C128)*('Time Deposits'!$R$2:$R$208&lt;=EOMONTH(WebPosting!$C128,0)))/$D128)*100</f>
        <v>3.8999999999999998E-3</v>
      </c>
      <c r="I128" s="346"/>
      <c r="J128" s="346"/>
    </row>
    <row r="129" spans="1:10" ht="15.75" customHeight="1">
      <c r="A129" s="211" t="s">
        <v>289</v>
      </c>
      <c r="C129" s="353">
        <v>42887</v>
      </c>
      <c r="D129" s="295">
        <f>SUMPRODUCT('Time Deposits'!$S$2:$S$249*('Time Deposits'!$R$2:$R$249&gt;=WebPosting!$C129)*('Time Deposits'!$R$2:$R$249&lt;=EOMONTH(WebPosting!$C129,0)))</f>
        <v>3771000</v>
      </c>
      <c r="E129" s="214">
        <f>(SUMPRODUCT('Time Deposits'!$AA$2:$AA$208*('Time Deposits'!$R$2:$R$208&gt;=WebPosting!$C129)*('Time Deposits'!$R$2:$R$208&lt;=EOMONTH(WebPosting!$C129,0)))/$D129)*100</f>
        <v>4.1050914876690527E-3</v>
      </c>
      <c r="I129" s="346"/>
      <c r="J129" s="346"/>
    </row>
    <row r="130" spans="1:10" ht="15.75" customHeight="1">
      <c r="A130" s="211" t="s">
        <v>289</v>
      </c>
      <c r="C130" s="353">
        <v>42917</v>
      </c>
      <c r="D130" s="295">
        <f>SUMPRODUCT('Time Deposits'!$S$2:$S$249*('Time Deposits'!$R$2:$R$249&gt;=WebPosting!$C130)*('Time Deposits'!$R$2:$R$249&lt;=EOMONTH(WebPosting!$C130,0)))</f>
        <v>6162000</v>
      </c>
      <c r="E130" s="214">
        <f>(SUMPRODUCT('Time Deposits'!$AA$2:$AA$208*('Time Deposits'!$R$2:$R$208&gt;=WebPosting!$C130)*('Time Deposits'!$R$2:$R$208&lt;=EOMONTH(WebPosting!$C130,0)))/$D130)*100</f>
        <v>4.4514605647517046E-3</v>
      </c>
      <c r="I130" s="346"/>
      <c r="J130" s="346"/>
    </row>
    <row r="131" spans="1:10" ht="15.75" customHeight="1">
      <c r="A131" s="211" t="s">
        <v>289</v>
      </c>
      <c r="C131" s="353">
        <v>42948</v>
      </c>
      <c r="D131" s="295">
        <f>SUMPRODUCT('Time Deposits'!$S$2:$S$249*('Time Deposits'!$R$2:$R$249&gt;=WebPosting!$C131)*('Time Deposits'!$R$2:$R$249&lt;=EOMONTH(WebPosting!$C131,0)))</f>
        <v>2392589</v>
      </c>
      <c r="E131" s="214">
        <f>(SUMPRODUCT('Time Deposits'!$AA$2:$AA$208*('Time Deposits'!$R$2:$R$208&gt;=WebPosting!$C131)*('Time Deposits'!$R$2:$R$208&lt;=EOMONTH(WebPosting!$C131,0)))/$D131)*100</f>
        <v>1.3335120574407056E-2</v>
      </c>
      <c r="I131" s="346"/>
      <c r="J131" s="346"/>
    </row>
    <row r="132" spans="1:10" ht="15.75" customHeight="1">
      <c r="A132" s="211" t="s">
        <v>289</v>
      </c>
      <c r="C132" s="353">
        <v>42979</v>
      </c>
      <c r="D132" s="295">
        <f>SUMPRODUCT('Time Deposits'!$S$2:$S$249*('Time Deposits'!$R$2:$R$249&gt;=WebPosting!$C132)*('Time Deposits'!$R$2:$R$249&lt;=EOMONTH(WebPosting!$C132,0)))</f>
        <v>612530</v>
      </c>
      <c r="E132" s="214">
        <f>(SUMPRODUCT('Time Deposits'!$AA$2:$AA$208*('Time Deposits'!$R$2:$R$208&gt;=WebPosting!$C132)*('Time Deposits'!$R$2:$R$208&lt;=EOMONTH(WebPosting!$C132,0)))/$D132)*100</f>
        <v>4.6122736845542259E-3</v>
      </c>
      <c r="I132" s="346"/>
      <c r="J132" s="346"/>
    </row>
    <row r="133" spans="1:10" ht="15.75" customHeight="1">
      <c r="A133" s="211" t="s">
        <v>289</v>
      </c>
      <c r="C133" s="353">
        <v>43009</v>
      </c>
      <c r="D133" s="295">
        <f>SUMPRODUCT('Time Deposits'!$S$2:$S$249*('Time Deposits'!$R$2:$R$249&gt;=WebPosting!$C133)*('Time Deposits'!$R$2:$R$249&lt;=EOMONTH(WebPosting!$C133,0)))</f>
        <v>75000</v>
      </c>
      <c r="E133" s="214">
        <f>(SUMPRODUCT('Time Deposits'!$AA$2:$AA$208*('Time Deposits'!$R$2:$R$208&gt;=WebPosting!$C133)*('Time Deposits'!$R$2:$R$208&lt;=EOMONTH(WebPosting!$C133,0)))/$D133)*100</f>
        <v>1.8200000000000001E-2</v>
      </c>
      <c r="I133" s="346"/>
      <c r="J133" s="346"/>
    </row>
    <row r="134" spans="1:10" ht="15.75" customHeight="1">
      <c r="A134" s="211" t="s">
        <v>289</v>
      </c>
      <c r="C134" s="353">
        <v>43040</v>
      </c>
      <c r="D134" s="295">
        <f>SUMPRODUCT('Time Deposits'!$S$2:$S$249*('Time Deposits'!$R$2:$R$249&gt;=WebPosting!$C134)*('Time Deposits'!$R$2:$R$249&lt;=EOMONTH(WebPosting!$C134,0)))</f>
        <v>140200</v>
      </c>
      <c r="E134" s="214">
        <f>(SUMPRODUCT('Time Deposits'!$AA$2:$AA$208*('Time Deposits'!$R$2:$R$208&gt;=WebPosting!$C134)*('Time Deposits'!$R$2:$R$208&lt;=EOMONTH(WebPosting!$C134,0)))/$D134)*100</f>
        <v>1.3883166904422255E-2</v>
      </c>
      <c r="I134" s="346"/>
      <c r="J134" s="346"/>
    </row>
    <row r="135" spans="1:10" ht="15.75" customHeight="1">
      <c r="A135" s="211" t="s">
        <v>289</v>
      </c>
      <c r="C135" s="353">
        <v>43070</v>
      </c>
      <c r="D135" s="295">
        <f>SUMPRODUCT('Time Deposits'!$S$2:$S$249*('Time Deposits'!$R$2:$R$249&gt;=WebPosting!$C135)*('Time Deposits'!$R$2:$R$249&lt;=EOMONTH(WebPosting!$C135,0)))</f>
        <v>4938759</v>
      </c>
      <c r="E135" s="214">
        <f>(SUMPRODUCT('Time Deposits'!$AA$2:$AA$208*('Time Deposits'!$R$2:$R$208&gt;=WebPosting!$C135)*('Time Deposits'!$R$2:$R$208&lt;=EOMONTH(WebPosting!$C135,0)))/$D135)*100</f>
        <v>1.7006939293859047E-2</v>
      </c>
      <c r="I135" s="346"/>
      <c r="J135" s="346"/>
    </row>
    <row r="136" spans="1:10" ht="15.75" customHeight="1">
      <c r="A136" s="211" t="s">
        <v>289</v>
      </c>
      <c r="C136" s="353">
        <v>43101</v>
      </c>
      <c r="D136" s="295">
        <f>SUMPRODUCT('Time Deposits'!$S$2:$S$249*('Time Deposits'!$R$2:$R$249&gt;=WebPosting!$C136)*('Time Deposits'!$R$2:$R$249&lt;=EOMONTH(WebPosting!$C136,0)))</f>
        <v>9315000</v>
      </c>
      <c r="E136" s="214">
        <f>(SUMPRODUCT('Time Deposits'!$AA$2:$AA$208*('Time Deposits'!$R$2:$R$208&gt;=WebPosting!$C136)*('Time Deposits'!$R$2:$R$208&lt;=EOMONTH(WebPosting!$C136,0)))/$D136)*100</f>
        <v>5.3042941492216847E-3</v>
      </c>
      <c r="I136" s="346"/>
      <c r="J136" s="346"/>
    </row>
    <row r="137" spans="1:10" ht="15.75" customHeight="1">
      <c r="A137" s="364" t="s">
        <v>289</v>
      </c>
      <c r="C137" s="353">
        <v>43132</v>
      </c>
      <c r="D137" s="295">
        <f>SUMPRODUCT('Time Deposits'!$S$2:$S$249*('Time Deposits'!$R$2:$R$249&gt;=WebPosting!$C137)*('Time Deposits'!$R$2:$R$249&lt;=EOMONTH(WebPosting!$C137,0)))</f>
        <v>12615000</v>
      </c>
      <c r="E137" s="214">
        <f>(SUMPRODUCT('Time Deposits'!$AA$2:$AA$208*('Time Deposits'!$R$2:$R$208&gt;=WebPosting!$C137)*('Time Deposits'!$R$2:$R$208&lt;=EOMONTH(WebPosting!$C137,0)))/$D137)*100</f>
        <v>5.4005707491082047E-3</v>
      </c>
      <c r="I137" s="346"/>
      <c r="J137" s="346"/>
    </row>
    <row r="138" spans="1:10" ht="15.75" customHeight="1">
      <c r="A138" s="211" t="s">
        <v>289</v>
      </c>
      <c r="C138" s="353">
        <v>43160</v>
      </c>
      <c r="D138" s="295">
        <f>SUMPRODUCT('Time Deposits'!$S$2:$S$249*('Time Deposits'!$R$2:$R$249&gt;=WebPosting!$C138)*('Time Deposits'!$R$2:$R$249&lt;=EOMONTH(WebPosting!$C138,0)))</f>
        <v>26005150</v>
      </c>
      <c r="E138" s="214">
        <f>(SUMPRODUCT('Time Deposits'!$AA$2:$AA$208*('Time Deposits'!$R$2:$R$208&gt;=WebPosting!$C138)*('Time Deposits'!$R$2:$R$208&lt;=EOMONTH(WebPosting!$C138,0)))/$D138)*100</f>
        <v>5.5008440635797148E-3</v>
      </c>
      <c r="I138" s="346"/>
      <c r="J138" s="346"/>
    </row>
    <row r="139" spans="1:10" ht="15.75" customHeight="1">
      <c r="A139" s="211" t="s">
        <v>289</v>
      </c>
      <c r="C139" s="353">
        <v>43191</v>
      </c>
      <c r="D139" s="295">
        <f>SUMPRODUCT('Time Deposits'!$S$2:$S$249*('Time Deposits'!$R$2:$R$249&gt;=WebPosting!$C139)*('Time Deposits'!$R$2:$R$249&lt;=EOMONTH(WebPosting!$C139,0)))</f>
        <v>12000</v>
      </c>
      <c r="E139" s="214">
        <f>(SUMPRODUCT('Time Deposits'!$AA$2:$AA$208*('Time Deposits'!$R$2:$R$208&gt;=WebPosting!$C139)*('Time Deposits'!$R$2:$R$208&lt;=EOMONTH(WebPosting!$C139,0)))/$D139)*100</f>
        <v>5.7000000000000002E-3</v>
      </c>
      <c r="I139" s="346"/>
      <c r="J139" s="346"/>
    </row>
    <row r="140" spans="1:10" ht="15.75" customHeight="1">
      <c r="A140" s="211" t="s">
        <v>289</v>
      </c>
      <c r="B140" s="354"/>
      <c r="C140" s="353">
        <v>43221</v>
      </c>
      <c r="D140" s="295">
        <f>SUMPRODUCT('Time Deposits'!$S$2:$S$249*('Time Deposits'!$R$2:$R$249&gt;=WebPosting!$C140)*('Time Deposits'!$R$2:$R$249&lt;=EOMONTH(WebPosting!$C140,0)))</f>
        <v>228050</v>
      </c>
      <c r="E140" s="214">
        <f>(SUMPRODUCT('Time Deposits'!$AA$2:$AA$208*('Time Deposits'!$R$2:$R$208&gt;=WebPosting!$C140)*('Time Deposits'!$R$2:$R$208&lt;=EOMONTH(WebPosting!$C140,0)))/$D140)*100</f>
        <v>1.0786603814952863E-2</v>
      </c>
      <c r="I140" s="346"/>
      <c r="J140" s="346"/>
    </row>
    <row r="141" spans="1:10" ht="15.75" customHeight="1">
      <c r="A141" s="211" t="s">
        <v>289</v>
      </c>
      <c r="B141" s="354"/>
      <c r="C141" s="353">
        <v>43374</v>
      </c>
      <c r="D141" s="295">
        <f>SUMPRODUCT('Time Deposits'!$S$2:$S$249*('Time Deposits'!$R$2:$R$249&gt;=WebPosting!$C141)*('Time Deposits'!$R$2:$R$249&lt;=EOMONTH(WebPosting!$C141,0)))</f>
        <v>245000</v>
      </c>
      <c r="E141" s="214">
        <f>(SUMPRODUCT('Time Deposits'!$AA$2:$AA$208*('Time Deposits'!$R$2:$R$208&gt;=WebPosting!$C141)*('Time Deposits'!$R$2:$R$208&lt;=EOMONTH(WebPosting!$C141,0)))/$D141)*100</f>
        <v>1.0646938775510205E-2</v>
      </c>
      <c r="I141" s="346"/>
      <c r="J141" s="346"/>
    </row>
    <row r="142" spans="1:10" ht="15.75" customHeight="1">
      <c r="A142" s="211" t="s">
        <v>289</v>
      </c>
      <c r="B142" s="354"/>
      <c r="C142" s="353">
        <v>43466</v>
      </c>
      <c r="D142" s="295">
        <f>SUMPRODUCT('Time Deposits'!$S$2:$S$249*('Time Deposits'!$R$2:$R$249&gt;=WebPosting!$C142)*('Time Deposits'!$R$2:$R$249&lt;=EOMONTH(WebPosting!$C142,0)))</f>
        <v>269900</v>
      </c>
      <c r="E142" s="214">
        <f>(SUMPRODUCT('Time Deposits'!$AA$2:$AA$208*('Time Deposits'!$R$2:$R$208&gt;=WebPosting!$C142)*('Time Deposits'!$R$2:$R$208&lt;=EOMONTH(WebPosting!$C142,0)))/$D142)*100</f>
        <v>6.7999999999999988E-3</v>
      </c>
      <c r="I142" s="346"/>
      <c r="J142" s="346"/>
    </row>
    <row r="143" spans="1:10" ht="15.75" customHeight="1">
      <c r="A143" s="211" t="s">
        <v>289</v>
      </c>
      <c r="C143" s="353">
        <v>43497</v>
      </c>
      <c r="D143" s="295">
        <f>SUMPRODUCT('Time Deposits'!$S$2:$S$249*('Time Deposits'!$R$2:$R$249&gt;=WebPosting!$C143)*('Time Deposits'!$R$2:$R$249&lt;=EOMONTH(WebPosting!$C143,0)))</f>
        <v>207950</v>
      </c>
      <c r="E143" s="214">
        <f>(SUMPRODUCT('Time Deposits'!$AA$2:$AA$208*('Time Deposits'!$R$2:$R$208&gt;=WebPosting!$C143)*('Time Deposits'!$R$2:$R$208&lt;=EOMONTH(WebPosting!$C143,0)))/$D143)*100</f>
        <v>6.8999999999999999E-3</v>
      </c>
      <c r="I143" s="346"/>
      <c r="J143" s="346"/>
    </row>
    <row r="144" spans="1:10">
      <c r="A144" s="211" t="s">
        <v>289</v>
      </c>
      <c r="C144" s="353">
        <v>43525</v>
      </c>
      <c r="D144" s="295">
        <f>SUMPRODUCT('Time Deposits'!$S$2:$S$249*('Time Deposits'!$R$2:$R$249&gt;=WebPosting!$C144)*('Time Deposits'!$R$2:$R$249&lt;=EOMONTH(WebPosting!$C144,0)))</f>
        <v>572000</v>
      </c>
      <c r="E144" s="214">
        <f>(SUMPRODUCT('Time Deposits'!$AA$2:$AA$208*('Time Deposits'!$R$2:$R$208&gt;=WebPosting!$C144)*('Time Deposits'!$R$2:$R$208&lt;=EOMONTH(WebPosting!$C144,0)))/$D144)*100</f>
        <v>7.000000000000001E-3</v>
      </c>
      <c r="I144" s="346"/>
      <c r="J144" s="346"/>
    </row>
    <row r="145" spans="1:10">
      <c r="A145" s="211" t="s">
        <v>289</v>
      </c>
      <c r="C145" s="353">
        <v>43556</v>
      </c>
      <c r="D145" s="295">
        <f>SUMPRODUCT('Time Deposits'!$S$2:$S$249*('Time Deposits'!$R$2:$R$249&gt;=WebPosting!$C145)*('Time Deposits'!$R$2:$R$249&lt;=EOMONTH(WebPosting!$C145,0)))</f>
        <v>35000</v>
      </c>
      <c r="E145" s="214">
        <f>(SUMPRODUCT('Time Deposits'!$AA$2:$AA$208*('Time Deposits'!$R$2:$R$208&gt;=WebPosting!$C145)*('Time Deposits'!$R$2:$R$208&lt;=EOMONTH(WebPosting!$C145,0)))/$D145)*100</f>
        <v>7.1999999999999998E-3</v>
      </c>
      <c r="I145" s="346"/>
      <c r="J145" s="346"/>
    </row>
    <row r="146" spans="1:10">
      <c r="A146" s="211" t="s">
        <v>289</v>
      </c>
      <c r="C146" s="353">
        <v>43586</v>
      </c>
      <c r="D146" s="295">
        <f>SUMPRODUCT('Time Deposits'!$S$2:$S$249*('Time Deposits'!$R$2:$R$249&gt;=WebPosting!$C146)*('Time Deposits'!$R$2:$R$249&lt;=EOMONTH(WebPosting!$C146,0)))</f>
        <v>30000</v>
      </c>
      <c r="E146" s="214">
        <f>(SUMPRODUCT('Time Deposits'!$AA$2:$AA$208*('Time Deposits'!$R$2:$R$208&gt;=WebPosting!$C146)*('Time Deposits'!$R$2:$R$208&lt;=EOMONTH(WebPosting!$C146,0)))/$D146)*100</f>
        <v>7.3000000000000001E-3</v>
      </c>
      <c r="I146" s="346"/>
      <c r="J146" s="346"/>
    </row>
    <row r="147" spans="1:10">
      <c r="A147" s="211" t="s">
        <v>289</v>
      </c>
      <c r="C147" s="353">
        <v>43678</v>
      </c>
      <c r="D147" s="295">
        <f>SUMPRODUCT('Time Deposits'!$S$2:$S$249*('Time Deposits'!$R$2:$R$249&gt;=WebPosting!$C147)*('Time Deposits'!$R$2:$R$249&lt;=EOMONTH(WebPosting!$C147,0)))</f>
        <v>60000</v>
      </c>
      <c r="E147" s="214">
        <f>(SUMPRODUCT('Time Deposits'!$AA$2:$AA$208*('Time Deposits'!$R$2:$R$208&gt;=WebPosting!$C147)*('Time Deposits'!$R$2:$R$208&lt;=EOMONTH(WebPosting!$C147,0)))/$D147)*100</f>
        <v>7.6000000000000009E-3</v>
      </c>
      <c r="I147" s="346"/>
      <c r="J147" s="346"/>
    </row>
    <row r="148" spans="1:10">
      <c r="A148" s="211" t="s">
        <v>289</v>
      </c>
      <c r="C148" s="353">
        <v>43709</v>
      </c>
      <c r="D148" s="295">
        <f>SUMPRODUCT('Time Deposits'!$S$2:$S$249*('Time Deposits'!$R$2:$R$249&gt;=WebPosting!$C148)*('Time Deposits'!$R$2:$R$249&lt;=EOMONTH(WebPosting!$C148,0)))</f>
        <v>637122</v>
      </c>
      <c r="E148" s="214">
        <f>(SUMPRODUCT('Time Deposits'!$AA$2:$AA$208*('Time Deposits'!$R$2:$R$208&gt;=WebPosting!$C148)*('Time Deposits'!$R$2:$R$208&lt;=EOMONTH(WebPosting!$C148,0)))/$D148)*100</f>
        <v>7.6000000000000009E-3</v>
      </c>
      <c r="I148" s="346"/>
      <c r="J148" s="346"/>
    </row>
    <row r="149" spans="1:10">
      <c r="A149" s="211" t="s">
        <v>289</v>
      </c>
      <c r="C149" s="353">
        <v>43739</v>
      </c>
      <c r="D149" s="295">
        <f>SUMPRODUCT('Time Deposits'!$S$2:$S$249*('Time Deposits'!$R$2:$R$249&gt;=WebPosting!$C149)*('Time Deposits'!$R$2:$R$249&lt;=EOMONTH(WebPosting!$C149,0)))</f>
        <v>33950</v>
      </c>
      <c r="E149" s="214">
        <f>(SUMPRODUCT('Time Deposits'!$AA$2:$AA$208*('Time Deposits'!$R$2:$R$208&gt;=WebPosting!$C149)*('Time Deposits'!$R$2:$R$208&lt;=EOMONTH(WebPosting!$C149,0)))/$D149)*100</f>
        <v>7.7000000000000002E-3</v>
      </c>
      <c r="I149" s="346"/>
      <c r="J149" s="346"/>
    </row>
    <row r="150" spans="1:10">
      <c r="A150" s="211" t="s">
        <v>289</v>
      </c>
      <c r="C150" s="353">
        <v>43770</v>
      </c>
      <c r="D150" s="295">
        <f>SUMPRODUCT('Time Deposits'!$S$2:$S$249*('Time Deposits'!$R$2:$R$249&gt;=WebPosting!$C150)*('Time Deposits'!$R$2:$R$249&lt;=EOMONTH(WebPosting!$C150,0)))</f>
        <v>40000</v>
      </c>
      <c r="E150" s="214">
        <f>(SUMPRODUCT('Time Deposits'!$AA$2:$AA$208*('Time Deposits'!$R$2:$R$208&gt;=WebPosting!$C150)*('Time Deposits'!$R$2:$R$208&lt;=EOMONTH(WebPosting!$C150,0)))/$D150)*100</f>
        <v>7.7000000000000002E-3</v>
      </c>
      <c r="I150" s="346"/>
      <c r="J150" s="346"/>
    </row>
    <row r="151" spans="1:10">
      <c r="A151" s="211" t="s">
        <v>289</v>
      </c>
      <c r="C151" s="353">
        <v>43800</v>
      </c>
      <c r="D151" s="295">
        <f>SUMPRODUCT('Time Deposits'!$S$2:$S$249*('Time Deposits'!$R$2:$R$249&gt;=WebPosting!$C151)*('Time Deposits'!$R$2:$R$249&lt;=EOMONTH(WebPosting!$C151,0)))</f>
        <v>48000</v>
      </c>
      <c r="E151" s="214">
        <f>(SUMPRODUCT('Time Deposits'!$AA$2:$AA$208*('Time Deposits'!$R$2:$R$208&gt;=WebPosting!$C151)*('Time Deposits'!$R$2:$R$208&lt;=EOMONTH(WebPosting!$C151,0)))/$D151)*100</f>
        <v>7.7999999999999996E-3</v>
      </c>
      <c r="I151" s="346"/>
      <c r="J151" s="346"/>
    </row>
    <row r="152" spans="1:10">
      <c r="A152" s="211" t="s">
        <v>289</v>
      </c>
      <c r="C152" s="353">
        <v>43831</v>
      </c>
      <c r="D152" s="295">
        <f>SUMPRODUCT('Time Deposits'!$S$2:$S$249*('Time Deposits'!$R$2:$R$249&gt;=WebPosting!$C152)*('Time Deposits'!$R$2:$R$249&lt;=EOMONTH(WebPosting!$C152,0)))</f>
        <v>80400</v>
      </c>
      <c r="E152" s="214">
        <f>(SUMPRODUCT('Time Deposits'!$AA$2:$AA$208*('Time Deposits'!$R$2:$R$208&gt;=WebPosting!$C152)*('Time Deposits'!$R$2:$R$208&lt;=EOMONTH(WebPosting!$C152,0)))/$D152)*100</f>
        <v>8.0000000000000002E-3</v>
      </c>
      <c r="I152" s="346"/>
      <c r="J152" s="346"/>
    </row>
    <row r="153" spans="1:10">
      <c r="A153" s="211" t="s">
        <v>289</v>
      </c>
      <c r="C153" s="353">
        <v>43862</v>
      </c>
      <c r="D153" s="295">
        <f>SUMPRODUCT('Time Deposits'!$S$2:$S$249*('Time Deposits'!$R$2:$R$249&gt;=WebPosting!$C153)*('Time Deposits'!$R$2:$R$249&lt;=EOMONTH(WebPosting!$C153,0)))</f>
        <v>62000</v>
      </c>
      <c r="E153" s="214">
        <f>(SUMPRODUCT('Time Deposits'!$AA$2:$AA$208*('Time Deposits'!$R$2:$R$208&gt;=WebPosting!$C153)*('Time Deposits'!$R$2:$R$208&lt;=EOMONTH(WebPosting!$C153,0)))/$D153)*100</f>
        <v>8.0999999999999996E-3</v>
      </c>
      <c r="I153" s="346"/>
      <c r="J153" s="346"/>
    </row>
    <row r="154" spans="1:10">
      <c r="A154" s="211" t="s">
        <v>289</v>
      </c>
      <c r="C154" s="353">
        <v>43891</v>
      </c>
      <c r="D154" s="295">
        <f>SUMPRODUCT('Time Deposits'!$S$2:$S$249*('Time Deposits'!$R$2:$R$249&gt;=WebPosting!$C154)*('Time Deposits'!$R$2:$R$249&lt;=EOMONTH(WebPosting!$C154,0)))</f>
        <v>175057</v>
      </c>
      <c r="E154" s="214">
        <f>(SUMPRODUCT('Time Deposits'!$AA$2:$AA$208*('Time Deposits'!$R$2:$R$208&gt;=WebPosting!$C154)*('Time Deposits'!$R$2:$R$208&lt;=EOMONTH(WebPosting!$C154,0)))/$D154)*100</f>
        <v>8.3000000000000001E-3</v>
      </c>
      <c r="I154" s="346"/>
      <c r="J154" s="346"/>
    </row>
    <row r="155" spans="1:10" ht="5.25" customHeight="1">
      <c r="C155" s="353"/>
      <c r="D155" s="295"/>
      <c r="I155" s="346"/>
      <c r="J155" s="346"/>
    </row>
    <row r="156" spans="1:10" ht="13.5" customHeight="1">
      <c r="A156" s="277" t="s">
        <v>288</v>
      </c>
      <c r="D156" s="352">
        <f>SUM(D126:D155)</f>
        <v>102572257</v>
      </c>
      <c r="I156" s="346"/>
      <c r="J156" s="346"/>
    </row>
    <row r="157" spans="1:10">
      <c r="A157" s="277"/>
      <c r="D157" s="291" t="b">
        <f>D156='Time Deposits'!S1</f>
        <v>1</v>
      </c>
    </row>
    <row r="158" spans="1:10">
      <c r="D158" s="291"/>
    </row>
    <row r="159" spans="1:10" ht="18">
      <c r="A159" s="436" t="s">
        <v>287</v>
      </c>
      <c r="B159" s="436"/>
      <c r="C159" s="436"/>
      <c r="D159" s="436"/>
      <c r="E159" s="436"/>
      <c r="F159" s="274"/>
      <c r="G159" s="274"/>
    </row>
    <row r="160" spans="1:10">
      <c r="A160" s="273" t="s">
        <v>258</v>
      </c>
      <c r="B160" s="272"/>
      <c r="C160" s="300" t="s">
        <v>267</v>
      </c>
      <c r="D160" s="270" t="s">
        <v>257</v>
      </c>
      <c r="E160" s="299" t="s">
        <v>266</v>
      </c>
      <c r="F160" s="268" t="s">
        <v>53</v>
      </c>
      <c r="G160" s="317" t="e">
        <f>SUM(G161:G219)</f>
        <v>#N/A</v>
      </c>
      <c r="I160" s="346"/>
      <c r="J160" s="346"/>
    </row>
    <row r="161" spans="1:10" hidden="1">
      <c r="A161" s="348" t="e">
        <f>INDEX('INV500 '!$D$3:$D$402,MATCH(WebPosting!$B161,'INV500 '!$K$3:$K$402,0))</f>
        <v>#N/A</v>
      </c>
      <c r="B161" s="351">
        <v>16102106</v>
      </c>
      <c r="C161" s="247" t="e">
        <f>VLOOKUP(B161,'INV500 '!$K$3:$T$1990,10,FALSE)</f>
        <v>#N/A</v>
      </c>
      <c r="D161" s="295">
        <f>SUMPRODUCT('INV500 '!$V$3:$V$1990*((WebPosting!B161='INV500 '!$K$3:$K$1990)*1000)*('INV500 '!$O$3:$O$1990&lt;&gt;"M")*('INV500 '!$C$3:$C$1990=62)*('INV500 '!$F$3:$F$1990&lt;&gt;"TOLL HIGHWAY GENERAL          "))</f>
        <v>0</v>
      </c>
      <c r="E161" s="214" t="e">
        <f>VLOOKUP($B161,'INV500 '!$K$3:$U$1990,11,FALSE)/100</f>
        <v>#N/A</v>
      </c>
      <c r="G161" s="214" t="e">
        <f t="shared" ref="G161:G192" si="5">($D161*$E161)/$D$220</f>
        <v>#N/A</v>
      </c>
      <c r="I161" s="346"/>
      <c r="J161" s="346"/>
    </row>
    <row r="162" spans="1:10" ht="15.75" hidden="1" customHeight="1">
      <c r="A162" s="348" t="e">
        <f>INDEX('INV500 '!$D$3:$D$402,MATCH(WebPosting!$B162,'INV500 '!$K$3:$K$402,0))</f>
        <v>#N/A</v>
      </c>
      <c r="B162" s="311">
        <v>16102812</v>
      </c>
      <c r="C162" s="247" t="e">
        <f>VLOOKUP(B162,'INV500 '!$K$3:$T$1990,10,FALSE)</f>
        <v>#N/A</v>
      </c>
      <c r="D162" s="295">
        <f>SUMPRODUCT('INV500 '!$V$3:$V$1990*((WebPosting!B162='INV500 '!$K$3:$K$1990)*1000)*('INV500 '!$O$3:$O$1990&lt;&gt;"M")*('INV500 '!$C$3:$C$1990=62)*('INV500 '!$F$3:$F$1990&lt;&gt;"TOLL HIGHWAY GENERAL          "))</f>
        <v>0</v>
      </c>
      <c r="E162" s="214" t="e">
        <f>VLOOKUP($B162,'INV500 '!$K$3:$U$1990,11,FALSE)/100</f>
        <v>#N/A</v>
      </c>
      <c r="G162" s="214" t="e">
        <f t="shared" si="5"/>
        <v>#N/A</v>
      </c>
      <c r="I162" s="346"/>
      <c r="J162" s="346"/>
    </row>
    <row r="163" spans="1:10" ht="15.75" hidden="1" customHeight="1">
      <c r="A163" s="348" t="e">
        <f>INDEX('INV500 '!$D$3:$D$402,MATCH(WebPosting!$B163,'INV500 '!$K$3:$K$402,0))</f>
        <v>#N/A</v>
      </c>
      <c r="B163" s="326">
        <v>16110213</v>
      </c>
      <c r="C163" s="247" t="e">
        <f>VLOOKUP(B163,'INV500 '!$K$3:$T$1990,10,FALSE)</f>
        <v>#N/A</v>
      </c>
      <c r="D163" s="295">
        <f>SUMPRODUCT('INV500 '!$V$3:$V$1990*((WebPosting!B163='INV500 '!$K$3:$K$1990)*1000)*('INV500 '!$O$3:$O$1990&lt;&gt;"M")*('INV500 '!$C$3:$C$1990=62)*('INV500 '!$F$3:$F$1990&lt;&gt;"TOLL HIGHWAY GENERAL          "))</f>
        <v>0</v>
      </c>
      <c r="E163" s="214" t="e">
        <f>VLOOKUP($B163,'INV500 '!$K$3:$U$1990,11,FALSE)/100</f>
        <v>#N/A</v>
      </c>
      <c r="G163" s="214" t="e">
        <f t="shared" si="5"/>
        <v>#N/A</v>
      </c>
      <c r="I163" s="346"/>
      <c r="J163" s="346"/>
    </row>
    <row r="164" spans="1:10" ht="15.75" hidden="1" customHeight="1">
      <c r="A164" s="348" t="e">
        <f>INDEX('INV500 '!$D$3:$D$402,MATCH(WebPosting!$B164,'INV500 '!$K$3:$K$402,0))</f>
        <v>#N/A</v>
      </c>
      <c r="B164" s="326">
        <v>16110305</v>
      </c>
      <c r="C164" s="247" t="e">
        <f>VLOOKUP(B164,'INV500 '!$K$3:$T$1990,10,FALSE)</f>
        <v>#N/A</v>
      </c>
      <c r="D164" s="295">
        <f>SUMPRODUCT('INV500 '!$V$3:$V$1990*((WebPosting!B164='INV500 '!$K$3:$K$1990)*1000)*('INV500 '!$O$3:$O$1990&lt;&gt;"M")*('INV500 '!$C$3:$C$1990=62)*('INV500 '!$F$3:$F$1990&lt;&gt;"TOLL HIGHWAY GENERAL          "))</f>
        <v>0</v>
      </c>
      <c r="E164" s="214" t="e">
        <f>VLOOKUP($B164,'INV500 '!$K$3:$U$1990,11,FALSE)/100</f>
        <v>#N/A</v>
      </c>
      <c r="G164" s="214" t="e">
        <f t="shared" si="5"/>
        <v>#N/A</v>
      </c>
      <c r="I164" s="346"/>
      <c r="J164" s="346"/>
    </row>
    <row r="165" spans="1:10" ht="15.75" hidden="1" customHeight="1">
      <c r="A165" s="348" t="e">
        <f>INDEX('INV500 '!$D$3:$D$402,MATCH(WebPosting!$B165,'INV500 '!$K$3:$K$402,0))</f>
        <v>#N/A</v>
      </c>
      <c r="B165" s="326">
        <v>16110413</v>
      </c>
      <c r="C165" s="247" t="e">
        <f>VLOOKUP(B165,'INV500 '!$K$3:$T$1990,10,FALSE)</f>
        <v>#N/A</v>
      </c>
      <c r="D165" s="295">
        <f>SUMPRODUCT('INV500 '!$V$3:$V$1990*((WebPosting!B165='INV500 '!$K$3:$K$1990)*1000)*('INV500 '!$O$3:$O$1990&lt;&gt;"M")*('INV500 '!$C$3:$C$1990=62)*('INV500 '!$F$3:$F$1990&lt;&gt;"TOLL HIGHWAY GENERAL          "))</f>
        <v>0</v>
      </c>
      <c r="E165" s="214" t="e">
        <f>VLOOKUP($B165,'INV500 '!$K$3:$U$1990,11,FALSE)/100</f>
        <v>#N/A</v>
      </c>
      <c r="G165" s="214" t="e">
        <f t="shared" si="5"/>
        <v>#N/A</v>
      </c>
      <c r="I165" s="346"/>
      <c r="J165" s="346"/>
    </row>
    <row r="166" spans="1:10" ht="15.75" hidden="1" customHeight="1">
      <c r="A166" s="348" t="e">
        <f>INDEX('INV500 '!$D$3:$D$402,MATCH(WebPosting!$B166,'INV500 '!$K$3:$K$402,0))</f>
        <v>#N/A</v>
      </c>
      <c r="B166" s="323">
        <v>16110710</v>
      </c>
      <c r="C166" s="247" t="e">
        <f>VLOOKUP(B166,'INV500 '!$K$3:$T$1990,10,FALSE)</f>
        <v>#N/A</v>
      </c>
      <c r="D166" s="295">
        <f>SUMPRODUCT('INV500 '!$V$3:$V$1990*((WebPosting!B166='INV500 '!$K$3:$K$1990)*1000)*('INV500 '!$O$3:$O$1990&lt;&gt;"M")*('INV500 '!$C$3:$C$1990=62)*('INV500 '!$F$3:$F$1990&lt;&gt;"TOLL HIGHWAY GENERAL          "))</f>
        <v>0</v>
      </c>
      <c r="E166" s="214" t="e">
        <f>VLOOKUP($B166,'INV500 '!$K$3:$U$1990,11,FALSE)/100</f>
        <v>#N/A</v>
      </c>
      <c r="G166" s="214" t="e">
        <f t="shared" si="5"/>
        <v>#N/A</v>
      </c>
      <c r="I166" s="346"/>
      <c r="J166" s="346"/>
    </row>
    <row r="167" spans="1:10" ht="15.75" hidden="1" customHeight="1">
      <c r="A167" s="348" t="e">
        <f>INDEX('INV500 '!$D$3:$D$402,MATCH(WebPosting!$B167,'INV500 '!$K$3:$K$402,0))</f>
        <v>#N/A</v>
      </c>
      <c r="B167" s="304">
        <v>16111410</v>
      </c>
      <c r="C167" s="247" t="e">
        <f>VLOOKUP(B167,'INV500 '!$K$3:$T$1990,10,FALSE)</f>
        <v>#N/A</v>
      </c>
      <c r="D167" s="295">
        <f>SUMPRODUCT('INV500 '!$V$3:$V$1990*((WebPosting!B167='INV500 '!$K$3:$K$1990)*1000)*('INV500 '!$O$3:$O$1990&lt;&gt;"M")*('INV500 '!$C$3:$C$1990=62)*('INV500 '!$F$3:$F$1990&lt;&gt;"TOLL HIGHWAY GENERAL          "))</f>
        <v>0</v>
      </c>
      <c r="E167" s="214" t="e">
        <f>VLOOKUP($B167,'INV500 '!$K$3:$U$1990,11,FALSE)/100</f>
        <v>#N/A</v>
      </c>
      <c r="G167" s="214" t="e">
        <f t="shared" si="5"/>
        <v>#N/A</v>
      </c>
      <c r="I167" s="346"/>
      <c r="J167" s="346"/>
    </row>
    <row r="168" spans="1:10" ht="15.75" hidden="1" customHeight="1">
      <c r="A168" s="348" t="e">
        <f>INDEX('INV500 '!$D$3:$D$402,MATCH(WebPosting!$B168,'INV500 '!$K$3:$K$402,0))</f>
        <v>#N/A</v>
      </c>
      <c r="B168" s="304">
        <v>16111510</v>
      </c>
      <c r="C168" s="247" t="e">
        <f>VLOOKUP(B168,'INV500 '!$K$3:$T$1990,10,FALSE)</f>
        <v>#N/A</v>
      </c>
      <c r="D168" s="295">
        <f>SUMPRODUCT('INV500 '!$V$3:$V$1990*((WebPosting!B168='INV500 '!$K$3:$K$1990)*1000)*('INV500 '!$O$3:$O$1990&lt;&gt;"M")*('INV500 '!$C$3:$C$1990=62)*('INV500 '!$F$3:$F$1990&lt;&gt;"TOLL HIGHWAY GENERAL          "))</f>
        <v>0</v>
      </c>
      <c r="E168" s="214" t="e">
        <f>VLOOKUP($B168,'INV500 '!$K$3:$U$1990,11,FALSE)/100</f>
        <v>#N/A</v>
      </c>
      <c r="G168" s="214" t="e">
        <f t="shared" si="5"/>
        <v>#N/A</v>
      </c>
      <c r="I168" s="346"/>
      <c r="J168" s="346"/>
    </row>
    <row r="169" spans="1:10" ht="15.75" hidden="1" customHeight="1">
      <c r="A169" s="348" t="e">
        <f>INDEX('INV500 '!$D$3:$D$402,MATCH(WebPosting!$B169,'INV500 '!$K$3:$K$402,0))</f>
        <v>#N/A</v>
      </c>
      <c r="B169" s="304">
        <v>16111611</v>
      </c>
      <c r="C169" s="247" t="e">
        <f>VLOOKUP(B169,'INV500 '!$K$3:$T$1990,10,FALSE)</f>
        <v>#N/A</v>
      </c>
      <c r="D169" s="295">
        <f>SUMPRODUCT('INV500 '!$V$3:$V$1990*((WebPosting!B169='INV500 '!$K$3:$K$1990)*1000)*('INV500 '!$O$3:$O$1990&lt;&gt;"M")*('INV500 '!$C$3:$C$1990=62)*('INV500 '!$F$3:$F$1990&lt;&gt;"TOLL HIGHWAY GENERAL          "))</f>
        <v>0</v>
      </c>
      <c r="E169" s="214" t="e">
        <f>VLOOKUP($B169,'INV500 '!$K$3:$U$1990,11,FALSE)/100</f>
        <v>#N/A</v>
      </c>
      <c r="G169" s="214" t="e">
        <f t="shared" si="5"/>
        <v>#N/A</v>
      </c>
      <c r="I169" s="346"/>
      <c r="J169" s="346"/>
    </row>
    <row r="170" spans="1:10" ht="15.75" hidden="1" customHeight="1">
      <c r="A170" s="348" t="e">
        <f>INDEX('INV500 '!$D$3:$D$402,MATCH(WebPosting!$B170,'INV500 '!$K$3:$K$402,0))</f>
        <v>#N/A</v>
      </c>
      <c r="B170" s="304">
        <v>16111712</v>
      </c>
      <c r="C170" s="247" t="e">
        <f>VLOOKUP(B170,'INV500 '!$K$3:$T$1990,10,FALSE)</f>
        <v>#N/A</v>
      </c>
      <c r="D170" s="295">
        <f>SUMPRODUCT('INV500 '!$V$3:$V$1990*((WebPosting!B170='INV500 '!$K$3:$K$1990)*1000)*('INV500 '!$O$3:$O$1990&lt;&gt;"M")*('INV500 '!$C$3:$C$1990=62)*('INV500 '!$F$3:$F$1990&lt;&gt;"TOLL HIGHWAY GENERAL          "))</f>
        <v>0</v>
      </c>
      <c r="E170" s="214" t="e">
        <f>VLOOKUP($B170,'INV500 '!$K$3:$U$1990,11,FALSE)/100</f>
        <v>#N/A</v>
      </c>
      <c r="G170" s="214" t="e">
        <f t="shared" si="5"/>
        <v>#N/A</v>
      </c>
      <c r="I170" s="346"/>
      <c r="J170" s="346"/>
    </row>
    <row r="171" spans="1:10" ht="15.75" customHeight="1">
      <c r="A171" s="348" t="str">
        <f>INDEX('INV500 '!$D$3:$D$402,MATCH(WebPosting!$B171,'INV500 '!$K$3:$K$402,0))</f>
        <v xml:space="preserve">TREASURY BILLS                </v>
      </c>
      <c r="B171" s="350">
        <v>17012411</v>
      </c>
      <c r="C171" s="247">
        <f>VLOOKUP(B171,'INV500 '!$K$3:$T$1990,10,FALSE)</f>
        <v>42831</v>
      </c>
      <c r="D171" s="295">
        <f>SUMPRODUCT('INV500 '!$V$3:$V$1990*((WebPosting!B171='INV500 '!$K$3:$K$1990)*1000)*('INV500 '!$O$3:$O$1990&lt;&gt;"M")*('INV500 '!$C$3:$C$1990=62)*('INV500 '!$F$3:$F$1990&lt;&gt;"TOLL HIGHWAY GENERAL          "))</f>
        <v>50000000</v>
      </c>
      <c r="E171" s="214">
        <f>VLOOKUP($B171,'INV500 '!$K$3:$U$1990,11,FALSE)/100</f>
        <v>4.7450000000000001E-3</v>
      </c>
      <c r="G171" s="214">
        <f t="shared" si="5"/>
        <v>9.4900000000000003E-5</v>
      </c>
      <c r="I171" s="346"/>
      <c r="J171" s="346"/>
    </row>
    <row r="172" spans="1:10" ht="15.75" customHeight="1">
      <c r="A172" s="348" t="str">
        <f>INDEX('INV500 '!$D$3:$D$402,MATCH(WebPosting!$B172,'INV500 '!$K$3:$K$402,0))</f>
        <v xml:space="preserve">TREASURY BILLS                </v>
      </c>
      <c r="B172" s="350">
        <v>17012414</v>
      </c>
      <c r="C172" s="247">
        <f>VLOOKUP(B172,'INV500 '!$K$3:$T$1990,10,FALSE)</f>
        <v>42831</v>
      </c>
      <c r="D172" s="295">
        <f>SUMPRODUCT('INV500 '!$V$3:$V$1990*((WebPosting!B172='INV500 '!$K$3:$K$1990)*1000)*('INV500 '!$O$3:$O$1990&lt;&gt;"M")*('INV500 '!$C$3:$C$1990=62)*('INV500 '!$F$3:$F$1990&lt;&gt;"TOLL HIGHWAY GENERAL          "))</f>
        <v>100000000</v>
      </c>
      <c r="E172" s="214">
        <f>VLOOKUP($B172,'INV500 '!$K$3:$U$1990,11,FALSE)/100</f>
        <v>4.6600000000000001E-3</v>
      </c>
      <c r="G172" s="214">
        <f t="shared" si="5"/>
        <v>1.864E-4</v>
      </c>
      <c r="I172" s="346"/>
      <c r="J172" s="346"/>
    </row>
    <row r="173" spans="1:10" ht="15.75" customHeight="1">
      <c r="A173" s="348" t="str">
        <f>INDEX('INV500 '!$D$3:$D$402,MATCH(WebPosting!$B173,'INV500 '!$K$3:$K$402,0))</f>
        <v xml:space="preserve">TREASURY BILLS                </v>
      </c>
      <c r="B173" s="228">
        <v>17012515</v>
      </c>
      <c r="C173" s="247">
        <f>VLOOKUP(B173,'INV500 '!$K$3:$T$1990,10,FALSE)</f>
        <v>42831</v>
      </c>
      <c r="D173" s="295">
        <f>SUMPRODUCT('INV500 '!$V$3:$V$1990*((WebPosting!B173='INV500 '!$K$3:$K$1990)*1000)*('INV500 '!$O$3:$O$1990&lt;&gt;"M")*('INV500 '!$C$3:$C$1990=62)*('INV500 '!$F$3:$F$1990&lt;&gt;"TOLL HIGHWAY GENERAL          "))</f>
        <v>100000000</v>
      </c>
      <c r="E173" s="214">
        <f>VLOOKUP($B173,'INV500 '!$K$3:$U$1990,11,FALSE)/100</f>
        <v>4.7450000000000001E-3</v>
      </c>
      <c r="G173" s="214">
        <f t="shared" si="5"/>
        <v>1.8980000000000001E-4</v>
      </c>
      <c r="I173" s="346"/>
      <c r="J173" s="346"/>
    </row>
    <row r="174" spans="1:10" ht="15.75" customHeight="1">
      <c r="A174" s="348" t="str">
        <f>INDEX('INV500 '!$D$3:$D$402,MATCH(WebPosting!$B174,'INV500 '!$K$3:$K$402,0))</f>
        <v xml:space="preserve">TREASURY BILLS                </v>
      </c>
      <c r="B174" s="228">
        <v>17012606</v>
      </c>
      <c r="C174" s="247">
        <f>VLOOKUP(B174,'INV500 '!$K$3:$T$1990,10,FALSE)</f>
        <v>42831</v>
      </c>
      <c r="D174" s="295">
        <f>SUMPRODUCT('INV500 '!$V$3:$V$1990*((WebPosting!B174='INV500 '!$K$3:$K$1990)*1000)*('INV500 '!$O$3:$O$1990&lt;&gt;"M")*('INV500 '!$C$3:$C$1990=62)*('INV500 '!$F$3:$F$1990&lt;&gt;"TOLL HIGHWAY GENERAL          "))</f>
        <v>100000000</v>
      </c>
      <c r="E174" s="214">
        <f>VLOOKUP($B174,'INV500 '!$K$3:$U$1990,11,FALSE)/100</f>
        <v>4.6550000000000003E-3</v>
      </c>
      <c r="G174" s="214">
        <f t="shared" si="5"/>
        <v>1.862E-4</v>
      </c>
      <c r="I174" s="346"/>
      <c r="J174" s="346"/>
    </row>
    <row r="175" spans="1:10" ht="15.75" customHeight="1">
      <c r="A175" s="348" t="str">
        <f>INDEX('INV500 '!$D$3:$D$402,MATCH(WebPosting!$B175,'INV500 '!$K$3:$K$402,0))</f>
        <v xml:space="preserve">TREASURY BILLS                </v>
      </c>
      <c r="B175" s="321">
        <v>17011109</v>
      </c>
      <c r="C175" s="247">
        <f>VLOOKUP(B175,'INV500 '!$K$3:$T$1990,10,FALSE)</f>
        <v>42852</v>
      </c>
      <c r="D175" s="295">
        <f>SUMPRODUCT('INV500 '!$V$3:$V$1990*((WebPosting!B175='INV500 '!$K$3:$K$1990)*1000)*('INV500 '!$O$3:$O$1990&lt;&gt;"M")*('INV500 '!$C$3:$C$1990=62)*('INV500 '!$F$3:$F$1990&lt;&gt;"TOLL HIGHWAY GENERAL          "))</f>
        <v>50000000</v>
      </c>
      <c r="E175" s="214">
        <f>VLOOKUP($B175,'INV500 '!$K$3:$U$1990,11,FALSE)/100</f>
        <v>4.9950000000000003E-3</v>
      </c>
      <c r="G175" s="214">
        <f t="shared" si="5"/>
        <v>9.9900000000000016E-5</v>
      </c>
      <c r="I175" s="346"/>
      <c r="J175" s="346"/>
    </row>
    <row r="176" spans="1:10" ht="15.75" customHeight="1">
      <c r="A176" s="348" t="str">
        <f>INDEX('INV500 '!$D$3:$D$402,MATCH(WebPosting!$B176,'INV500 '!$K$3:$K$402,0))</f>
        <v xml:space="preserve">TREASURY BILLS                </v>
      </c>
      <c r="B176" s="228">
        <v>17012608</v>
      </c>
      <c r="C176" s="247">
        <f>VLOOKUP(B176,'INV500 '!$K$3:$T$1990,10,FALSE)</f>
        <v>42859</v>
      </c>
      <c r="D176" s="295">
        <f>SUMPRODUCT('INV500 '!$V$3:$V$1990*((WebPosting!B176='INV500 '!$K$3:$K$1990)*1000)*('INV500 '!$O$3:$O$1990&lt;&gt;"M")*('INV500 '!$C$3:$C$1990=62)*('INV500 '!$F$3:$F$1990&lt;&gt;"TOLL HIGHWAY GENERAL          "))</f>
        <v>100000000</v>
      </c>
      <c r="E176" s="214">
        <f>VLOOKUP($B176,'INV500 '!$K$3:$U$1990,11,FALSE)/100</f>
        <v>4.8999999999999998E-3</v>
      </c>
      <c r="G176" s="214">
        <f t="shared" si="5"/>
        <v>1.9599999999999999E-4</v>
      </c>
      <c r="I176" s="346"/>
      <c r="J176" s="346"/>
    </row>
    <row r="177" spans="1:10" ht="15.75" customHeight="1">
      <c r="A177" s="348" t="str">
        <f>INDEX('INV500 '!$D$3:$D$402,MATCH(WebPosting!$B177,'INV500 '!$K$3:$K$402,0))</f>
        <v xml:space="preserve">TREASURY BILLS                </v>
      </c>
      <c r="B177" s="283">
        <v>16120212</v>
      </c>
      <c r="C177" s="247">
        <f>VLOOKUP(B177,'INV500 '!$K$3:$T$1990,10,FALSE)</f>
        <v>42887</v>
      </c>
      <c r="D177" s="295">
        <f>SUMPRODUCT('INV500 '!$V$3:$V$1990*((WebPosting!B177='INV500 '!$K$3:$K$1990)*1000)*('INV500 '!$O$3:$O$1990&lt;&gt;"M")*('INV500 '!$C$3:$C$1990=62)*('INV500 '!$F$3:$F$1990&lt;&gt;"TOLL HIGHWAY GENERAL          "))</f>
        <v>50000000</v>
      </c>
      <c r="E177" s="214">
        <f>VLOOKUP($B177,'INV500 '!$K$3:$U$1990,11,FALSE)/100</f>
        <v>5.8950000000000001E-3</v>
      </c>
      <c r="G177" s="214">
        <f t="shared" si="5"/>
        <v>1.1790000000000001E-4</v>
      </c>
      <c r="I177" s="346"/>
      <c r="J177" s="346"/>
    </row>
    <row r="178" spans="1:10" ht="15.75" customHeight="1">
      <c r="A178" s="348" t="str">
        <f>INDEX('INV500 '!$D$3:$D$402,MATCH(WebPosting!$B178,'INV500 '!$K$3:$K$402,0))</f>
        <v xml:space="preserve">TREASURY BILLS                </v>
      </c>
      <c r="B178" s="283">
        <v>16120213</v>
      </c>
      <c r="C178" s="247">
        <f>VLOOKUP(B178,'INV500 '!$K$3:$T$1990,10,FALSE)</f>
        <v>42887</v>
      </c>
      <c r="D178" s="295">
        <f>SUMPRODUCT('INV500 '!$V$3:$V$1990*((WebPosting!B178='INV500 '!$K$3:$K$1990)*1000)*('INV500 '!$O$3:$O$1990&lt;&gt;"M")*('INV500 '!$C$3:$C$1990=62)*('INV500 '!$F$3:$F$1990&lt;&gt;"TOLL HIGHWAY GENERAL          "))</f>
        <v>50000000</v>
      </c>
      <c r="E178" s="214">
        <f>VLOOKUP($B178,'INV500 '!$K$3:$U$1990,11,FALSE)/100</f>
        <v>5.9099999999999995E-3</v>
      </c>
      <c r="G178" s="214">
        <f t="shared" si="5"/>
        <v>1.182E-4</v>
      </c>
      <c r="I178" s="346"/>
      <c r="J178" s="346"/>
    </row>
    <row r="179" spans="1:10" ht="15.75" customHeight="1">
      <c r="A179" s="348" t="str">
        <f>INDEX('INV500 '!$D$3:$D$402,MATCH(WebPosting!$B179,'INV500 '!$K$3:$K$402,0))</f>
        <v xml:space="preserve">TREASURY BILLS                </v>
      </c>
      <c r="B179" s="320">
        <v>16120613</v>
      </c>
      <c r="C179" s="247">
        <f>VLOOKUP(B179,'INV500 '!$K$3:$T$1990,10,FALSE)</f>
        <v>42887</v>
      </c>
      <c r="D179" s="295">
        <f>SUMPRODUCT('INV500 '!$V$3:$V$1990*((WebPosting!B179='INV500 '!$K$3:$K$1990)*1000)*('INV500 '!$O$3:$O$1990&lt;&gt;"M")*('INV500 '!$C$3:$C$1990=62)*('INV500 '!$F$3:$F$1990&lt;&gt;"TOLL HIGHWAY GENERAL          "))</f>
        <v>50000000</v>
      </c>
      <c r="E179" s="214">
        <f>VLOOKUP($B179,'INV500 '!$K$3:$U$1990,11,FALSE)/100</f>
        <v>6.0049999999999999E-3</v>
      </c>
      <c r="G179" s="214">
        <f t="shared" si="5"/>
        <v>1.2010000000000001E-4</v>
      </c>
      <c r="I179" s="346"/>
      <c r="J179" s="346"/>
    </row>
    <row r="180" spans="1:10" ht="15.75" customHeight="1">
      <c r="A180" s="348" t="str">
        <f>INDEX('INV500 '!$D$3:$D$402,MATCH(WebPosting!$B180,'INV500 '!$K$3:$K$402,0))</f>
        <v xml:space="preserve">TREASURY BILLS                </v>
      </c>
      <c r="B180" s="320">
        <v>16120721</v>
      </c>
      <c r="C180" s="247">
        <f>VLOOKUP(B180,'INV500 '!$K$3:$T$1990,10,FALSE)</f>
        <v>42887</v>
      </c>
      <c r="D180" s="295">
        <f>SUMPRODUCT('INV500 '!$V$3:$V$1990*((WebPosting!B180='INV500 '!$K$3:$K$1990)*1000)*('INV500 '!$O$3:$O$1990&lt;&gt;"M")*('INV500 '!$C$3:$C$1990=62)*('INV500 '!$F$3:$F$1990&lt;&gt;"TOLL HIGHWAY GENERAL          "))</f>
        <v>50000000</v>
      </c>
      <c r="E180" s="214">
        <f>VLOOKUP($B180,'INV500 '!$K$3:$U$1990,11,FALSE)/100</f>
        <v>5.8950000000000001E-3</v>
      </c>
      <c r="G180" s="214">
        <f t="shared" si="5"/>
        <v>1.1790000000000001E-4</v>
      </c>
      <c r="I180" s="346"/>
      <c r="J180" s="346"/>
    </row>
    <row r="181" spans="1:10" ht="15.75" customHeight="1">
      <c r="A181" s="348" t="str">
        <f>INDEX('INV500 '!$D$3:$D$402,MATCH(WebPosting!$B181,'INV500 '!$K$3:$K$402,0))</f>
        <v xml:space="preserve">TREASURY BILLS                </v>
      </c>
      <c r="B181" s="339">
        <v>16121210</v>
      </c>
      <c r="C181" s="247">
        <f>VLOOKUP(B181,'INV500 '!$K$3:$T$1990,10,FALSE)</f>
        <v>42887</v>
      </c>
      <c r="D181" s="295">
        <f>SUMPRODUCT('INV500 '!$V$3:$V$1990*((WebPosting!B181='INV500 '!$K$3:$K$1990)*1000)*('INV500 '!$O$3:$O$1990&lt;&gt;"M")*('INV500 '!$C$3:$C$1990=62)*('INV500 '!$F$3:$F$1990&lt;&gt;"TOLL HIGHWAY GENERAL          "))</f>
        <v>50000000</v>
      </c>
      <c r="E181" s="214">
        <f>VLOOKUP($B181,'INV500 '!$K$3:$U$1990,11,FALSE)/100</f>
        <v>5.8950000000000001E-3</v>
      </c>
      <c r="G181" s="214">
        <f t="shared" si="5"/>
        <v>1.1790000000000001E-4</v>
      </c>
      <c r="I181" s="346"/>
      <c r="J181" s="346"/>
    </row>
    <row r="182" spans="1:10" ht="15.75" customHeight="1">
      <c r="A182" s="348" t="str">
        <f>INDEX('INV500 '!$D$3:$D$402,MATCH(WebPosting!$B182,'INV500 '!$K$3:$K$402,0))</f>
        <v xml:space="preserve">TREASURY BILLS                </v>
      </c>
      <c r="B182" s="339">
        <v>16121309</v>
      </c>
      <c r="C182" s="247">
        <f>VLOOKUP(B182,'INV500 '!$K$3:$T$1990,10,FALSE)</f>
        <v>42887</v>
      </c>
      <c r="D182" s="295">
        <f>SUMPRODUCT('INV500 '!$V$3:$V$1990*((WebPosting!B182='INV500 '!$K$3:$K$1990)*1000)*('INV500 '!$O$3:$O$1990&lt;&gt;"M")*('INV500 '!$C$3:$C$1990=62)*('INV500 '!$F$3:$F$1990&lt;&gt;"TOLL HIGHWAY GENERAL          "))</f>
        <v>50000000</v>
      </c>
      <c r="E182" s="214">
        <f>VLOOKUP($B182,'INV500 '!$K$3:$U$1990,11,FALSE)/100</f>
        <v>6.0049999999999999E-3</v>
      </c>
      <c r="G182" s="214">
        <f t="shared" si="5"/>
        <v>1.2010000000000001E-4</v>
      </c>
      <c r="I182" s="346"/>
      <c r="J182" s="346"/>
    </row>
    <row r="183" spans="1:10" ht="15.75" customHeight="1">
      <c r="A183" s="348" t="str">
        <f>INDEX('INV500 '!$D$3:$D$402,MATCH(WebPosting!$B183,'INV500 '!$K$3:$K$402,0))</f>
        <v xml:space="preserve">TREASURY BILLS                </v>
      </c>
      <c r="B183" s="339">
        <v>16121601</v>
      </c>
      <c r="C183" s="247">
        <f>VLOOKUP(B183,'INV500 '!$K$3:$T$1990,10,FALSE)</f>
        <v>42887</v>
      </c>
      <c r="D183" s="295">
        <f>SUMPRODUCT('INV500 '!$V$3:$V$1990*((WebPosting!B183='INV500 '!$K$3:$K$1990)*1000)*('INV500 '!$O$3:$O$1990&lt;&gt;"M")*('INV500 '!$C$3:$C$1990=62)*('INV500 '!$F$3:$F$1990&lt;&gt;"TOLL HIGHWAY GENERAL          "))</f>
        <v>50000000</v>
      </c>
      <c r="E183" s="214">
        <f>VLOOKUP($B183,'INV500 '!$K$3:$U$1990,11,FALSE)/100</f>
        <v>6.1050000000000002E-3</v>
      </c>
      <c r="G183" s="214">
        <f t="shared" si="5"/>
        <v>1.2210000000000001E-4</v>
      </c>
      <c r="I183" s="346"/>
      <c r="J183" s="346"/>
    </row>
    <row r="184" spans="1:10" ht="15.75" customHeight="1">
      <c r="A184" s="348" t="str">
        <f>INDEX('INV500 '!$D$3:$D$402,MATCH(WebPosting!$B184,'INV500 '!$K$3:$K$402,0))</f>
        <v xml:space="preserve">TREASURY BILLS                </v>
      </c>
      <c r="B184" s="303">
        <v>16121901</v>
      </c>
      <c r="C184" s="247">
        <f>VLOOKUP(B184,'INV500 '!$K$3:$T$1990,10,FALSE)</f>
        <v>42887</v>
      </c>
      <c r="D184" s="295">
        <f>SUMPRODUCT('INV500 '!$V$3:$V$1990*((WebPosting!B184='INV500 '!$K$3:$K$1990)*1000)*('INV500 '!$O$3:$O$1990&lt;&gt;"M")*('INV500 '!$C$3:$C$1990=62)*('INV500 '!$F$3:$F$1990&lt;&gt;"TOLL HIGHWAY GENERAL          "))</f>
        <v>50000000</v>
      </c>
      <c r="E184" s="214">
        <f>VLOOKUP($B184,'INV500 '!$K$3:$U$1990,11,FALSE)/100</f>
        <v>6.1950000000000009E-3</v>
      </c>
      <c r="G184" s="214">
        <f t="shared" si="5"/>
        <v>1.2390000000000003E-4</v>
      </c>
      <c r="I184" s="346"/>
      <c r="J184" s="346"/>
    </row>
    <row r="185" spans="1:10" ht="15.75" hidden="1" customHeight="1">
      <c r="A185" s="348" t="e">
        <f>INDEX('INV500 '!$D$3:$D$402,MATCH(WebPosting!$B185,'INV500 '!$K$3:$K$402,0))</f>
        <v>#N/A</v>
      </c>
      <c r="B185" s="406"/>
      <c r="C185" s="247" t="e">
        <f>VLOOKUP(B185,'INV500 '!$K$3:$T$1990,10,FALSE)</f>
        <v>#N/A</v>
      </c>
      <c r="D185" s="295">
        <f>SUMPRODUCT('INV500 '!$V$3:$V$1990*((WebPosting!B185='INV500 '!$K$3:$K$1990)*1000)*('INV500 '!$O$3:$O$1990&lt;&gt;"M")*('INV500 '!$C$3:$C$1990=62)*('INV500 '!$F$3:$F$1990&lt;&gt;"TOLL HIGHWAY GENERAL          "))</f>
        <v>0</v>
      </c>
      <c r="E185" s="214" t="e">
        <f>VLOOKUP($B185,'INV500 '!$K$3:$U$1990,11,FALSE)/100</f>
        <v>#N/A</v>
      </c>
      <c r="G185" s="214" t="e">
        <f t="shared" si="5"/>
        <v>#N/A</v>
      </c>
      <c r="I185" s="346"/>
      <c r="J185" s="346"/>
    </row>
    <row r="186" spans="1:10" ht="15.75" customHeight="1">
      <c r="A186" s="348" t="str">
        <f>INDEX('INV500 '!$D$3:$D$402,MATCH(WebPosting!$B186,'INV500 '!$K$3:$K$402,0))</f>
        <v xml:space="preserve">TREASURY BILLS                </v>
      </c>
      <c r="B186" s="402">
        <v>17021614</v>
      </c>
      <c r="C186" s="247">
        <f>VLOOKUP(B186,'INV500 '!$K$3:$T$1990,10,FALSE)</f>
        <v>43132</v>
      </c>
      <c r="D186" s="295">
        <f>SUMPRODUCT('INV500 '!$V$3:$V$1990*((WebPosting!B186='INV500 '!$K$3:$K$1990)*1000)*('INV500 '!$O$3:$O$1990&lt;&gt;"M")*('INV500 '!$C$3:$C$1990=62)*('INV500 '!$F$3:$F$1990&lt;&gt;"TOLL HIGHWAY GENERAL          "))</f>
        <v>50000000</v>
      </c>
      <c r="E186" s="214">
        <f>VLOOKUP($B186,'INV500 '!$K$3:$U$1990,11,FALSE)/100</f>
        <v>7.8500000000000011E-3</v>
      </c>
      <c r="G186" s="214">
        <f t="shared" si="5"/>
        <v>1.5700000000000002E-4</v>
      </c>
      <c r="I186" s="346"/>
      <c r="J186" s="346"/>
    </row>
    <row r="187" spans="1:10" ht="15.75" customHeight="1">
      <c r="A187" s="348" t="str">
        <f>INDEX('INV500 '!$D$3:$D$402,MATCH(WebPosting!$B187,'INV500 '!$K$3:$K$402,0))</f>
        <v xml:space="preserve">TREASURY BILLS                </v>
      </c>
      <c r="B187" s="408">
        <v>17022101</v>
      </c>
      <c r="C187" s="247">
        <f>VLOOKUP(B187,'INV500 '!$K$3:$T$1990,10,FALSE)</f>
        <v>43132</v>
      </c>
      <c r="D187" s="295">
        <f>SUMPRODUCT('INV500 '!$V$3:$V$1990*((WebPosting!B187='INV500 '!$K$3:$K$1990)*1000)*('INV500 '!$O$3:$O$1990&lt;&gt;"M")*('INV500 '!$C$3:$C$1990=62)*('INV500 '!$F$3:$F$1990&lt;&gt;"TOLL HIGHWAY GENERAL          "))</f>
        <v>50000000</v>
      </c>
      <c r="E187" s="214">
        <f>VLOOKUP($B187,'INV500 '!$K$3:$U$1990,11,FALSE)/100</f>
        <v>7.8049999999999994E-3</v>
      </c>
      <c r="G187" s="214">
        <f t="shared" si="5"/>
        <v>1.561E-4</v>
      </c>
      <c r="I187" s="346"/>
      <c r="J187" s="346"/>
    </row>
    <row r="188" spans="1:10" ht="15.75" customHeight="1">
      <c r="A188" s="348" t="str">
        <f>INDEX('INV500 '!$D$3:$D$402,MATCH(WebPosting!$B188,'INV500 '!$K$3:$K$402,0))</f>
        <v xml:space="preserve">TREASURY BILLS                </v>
      </c>
      <c r="B188" s="408">
        <v>17022203</v>
      </c>
      <c r="C188" s="247">
        <f>VLOOKUP(B188,'INV500 '!$K$3:$T$1990,10,FALSE)</f>
        <v>43132</v>
      </c>
      <c r="D188" s="295">
        <f>SUMPRODUCT('INV500 '!$V$3:$V$1990*((WebPosting!B188='INV500 '!$K$3:$K$1990)*1000)*('INV500 '!$O$3:$O$1990&lt;&gt;"M")*('INV500 '!$C$3:$C$1990=62)*('INV500 '!$F$3:$F$1990&lt;&gt;"TOLL HIGHWAY GENERAL          "))</f>
        <v>50000000</v>
      </c>
      <c r="E188" s="214">
        <f>VLOOKUP($B188,'INV500 '!$K$3:$U$1990,11,FALSE)/100</f>
        <v>7.8700000000000003E-3</v>
      </c>
      <c r="G188" s="214">
        <f t="shared" si="5"/>
        <v>1.574E-4</v>
      </c>
      <c r="I188" s="346"/>
      <c r="J188" s="346"/>
    </row>
    <row r="189" spans="1:10" ht="15.75" customHeight="1">
      <c r="A189" s="348" t="str">
        <f>INDEX('INV500 '!$D$3:$D$402,MATCH(WebPosting!$B189,'INV500 '!$K$3:$K$402,0))</f>
        <v xml:space="preserve">TREASURY BILLS                </v>
      </c>
      <c r="B189" s="404">
        <v>17022403</v>
      </c>
      <c r="C189" s="247">
        <f>VLOOKUP(B189,'INV500 '!$K$3:$T$1990,10,FALSE)</f>
        <v>43132</v>
      </c>
      <c r="D189" s="295">
        <f>SUMPRODUCT('INV500 '!$V$3:$V$1990*((WebPosting!B189='INV500 '!$K$3:$K$1990)*1000)*('INV500 '!$O$3:$O$1990&lt;&gt;"M")*('INV500 '!$C$3:$C$1990=62)*('INV500 '!$F$3:$F$1990&lt;&gt;"TOLL HIGHWAY GENERAL          "))</f>
        <v>50000000</v>
      </c>
      <c r="E189" s="214">
        <f>VLOOKUP($B189,'INV500 '!$K$3:$U$1990,11,FALSE)/100</f>
        <v>7.6949999999999996E-3</v>
      </c>
      <c r="G189" s="214">
        <f t="shared" si="5"/>
        <v>1.539E-4</v>
      </c>
      <c r="I189" s="346"/>
      <c r="J189" s="346"/>
    </row>
    <row r="190" spans="1:10" ht="15.75" customHeight="1">
      <c r="A190" s="348" t="str">
        <f>INDEX('INV500 '!$D$3:$D$402,MATCH(WebPosting!$B190,'INV500 '!$K$3:$K$402,0))</f>
        <v xml:space="preserve">TREASURY BILLS                </v>
      </c>
      <c r="B190" s="409">
        <v>17022711</v>
      </c>
      <c r="C190" s="247">
        <f>VLOOKUP(B190,'INV500 '!$K$3:$T$1990,10,FALSE)</f>
        <v>43132</v>
      </c>
      <c r="D190" s="295">
        <f>SUMPRODUCT('INV500 '!$V$3:$V$1990*((WebPosting!B190='INV500 '!$K$3:$K$1990)*1000)*('INV500 '!$O$3:$O$1990&lt;&gt;"M")*('INV500 '!$C$3:$C$1990=62)*('INV500 '!$F$3:$F$1990&lt;&gt;"TOLL HIGHWAY GENERAL          "))</f>
        <v>50000000</v>
      </c>
      <c r="E190" s="214">
        <f>VLOOKUP($B190,'INV500 '!$K$3:$U$1990,11,FALSE)/100</f>
        <v>7.6449999999999999E-3</v>
      </c>
      <c r="G190" s="214">
        <f t="shared" si="5"/>
        <v>1.529E-4</v>
      </c>
      <c r="I190" s="346"/>
      <c r="J190" s="346"/>
    </row>
    <row r="191" spans="1:10" ht="15.75" customHeight="1">
      <c r="A191" s="348" t="str">
        <f>INDEX('INV500 '!$D$3:$D$402,MATCH(WebPosting!$B191,'INV500 '!$K$3:$K$402,0))</f>
        <v xml:space="preserve">TREASURY BILLS                </v>
      </c>
      <c r="B191" s="409">
        <v>17022816</v>
      </c>
      <c r="C191" s="247">
        <f>VLOOKUP(B191,'INV500 '!$K$3:$T$1990,10,FALSE)</f>
        <v>43132</v>
      </c>
      <c r="D191" s="295">
        <f>SUMPRODUCT('INV500 '!$V$3:$V$1990*((WebPosting!B191='INV500 '!$K$3:$K$1990)*1000)*('INV500 '!$O$3:$O$1990&lt;&gt;"M")*('INV500 '!$C$3:$C$1990=62)*('INV500 '!$F$3:$F$1990&lt;&gt;"TOLL HIGHWAY GENERAL          "))</f>
        <v>50000000</v>
      </c>
      <c r="E191" s="214">
        <f>VLOOKUP($B191,'INV500 '!$K$3:$U$1990,11,FALSE)/100</f>
        <v>7.5349999999999992E-3</v>
      </c>
      <c r="G191" s="214">
        <f t="shared" si="5"/>
        <v>1.5069999999999998E-4</v>
      </c>
      <c r="I191" s="346"/>
      <c r="J191" s="346"/>
    </row>
    <row r="192" spans="1:10" ht="15.75" customHeight="1">
      <c r="A192" s="348" t="str">
        <f>INDEX('INV500 '!$D$3:$D$402,MATCH(WebPosting!$B192,'INV500 '!$K$3:$K$402,0))</f>
        <v xml:space="preserve">TREASURY BILLS                </v>
      </c>
      <c r="B192" s="401">
        <v>17030309</v>
      </c>
      <c r="C192" s="247">
        <f>VLOOKUP(B192,'INV500 '!$K$3:$T$1990,10,FALSE)</f>
        <v>43160</v>
      </c>
      <c r="D192" s="295">
        <f>SUMPRODUCT('INV500 '!$V$3:$V$1990*((WebPosting!B192='INV500 '!$K$3:$K$1990)*1000)*('INV500 '!$O$3:$O$1990&lt;&gt;"M")*('INV500 '!$C$3:$C$1990=62)*('INV500 '!$F$3:$F$1990&lt;&gt;"TOLL HIGHWAY GENERAL          "))</f>
        <v>50000000</v>
      </c>
      <c r="E192" s="214">
        <f>VLOOKUP($B192,'INV500 '!$K$3:$U$1990,11,FALSE)/100</f>
        <v>9.2949999999999994E-3</v>
      </c>
      <c r="G192" s="214">
        <f t="shared" si="5"/>
        <v>1.8589999999999999E-4</v>
      </c>
      <c r="I192" s="346"/>
      <c r="J192" s="346"/>
    </row>
    <row r="193" spans="1:10" ht="15.75" customHeight="1">
      <c r="A193" s="348" t="str">
        <f>INDEX('INV500 '!$D$3:$D$402,MATCH(WebPosting!$B193,'INV500 '!$K$3:$K$402,0))</f>
        <v xml:space="preserve">TREASURY BILLS                </v>
      </c>
      <c r="B193" s="410">
        <v>17030609</v>
      </c>
      <c r="C193" s="247">
        <f>VLOOKUP(B193,'INV500 '!$K$3:$T$1990,10,FALSE)</f>
        <v>43160</v>
      </c>
      <c r="D193" s="295">
        <f>SUMPRODUCT('INV500 '!$V$3:$V$1990*((WebPosting!B193='INV500 '!$K$3:$K$1990)*1000)*('INV500 '!$O$3:$O$1990&lt;&gt;"M")*('INV500 '!$C$3:$C$1990=62)*('INV500 '!$F$3:$F$1990&lt;&gt;"TOLL HIGHWAY GENERAL          "))</f>
        <v>50000000</v>
      </c>
      <c r="E193" s="214">
        <f>VLOOKUP($B193,'INV500 '!$K$3:$U$1990,11,FALSE)/100</f>
        <v>9.3449999999999991E-3</v>
      </c>
      <c r="G193" s="214">
        <f t="shared" ref="G193:G214" si="6">($D193*$E193)/$D$220</f>
        <v>1.8689999999999999E-4</v>
      </c>
      <c r="I193" s="346"/>
      <c r="J193" s="346"/>
    </row>
    <row r="194" spans="1:10" ht="15.75" customHeight="1">
      <c r="A194" s="348" t="str">
        <f>INDEX('INV500 '!$D$3:$D$402,MATCH(WebPosting!$B194,'INV500 '!$K$3:$K$402,0))</f>
        <v xml:space="preserve">TREASURY BILLS                </v>
      </c>
      <c r="B194" s="406">
        <v>17030802</v>
      </c>
      <c r="C194" s="247">
        <f>VLOOKUP(B194,'INV500 '!$K$3:$T$1990,10,FALSE)</f>
        <v>43160</v>
      </c>
      <c r="D194" s="295">
        <f>SUMPRODUCT('INV500 '!$V$3:$V$1990*((WebPosting!B194='INV500 '!$K$3:$K$1990)*1000)*('INV500 '!$O$3:$O$1990&lt;&gt;"M")*('INV500 '!$C$3:$C$1990=62)*('INV500 '!$F$3:$F$1990&lt;&gt;"TOLL HIGHWAY GENERAL          "))</f>
        <v>50000000</v>
      </c>
      <c r="E194" s="214">
        <f>VLOOKUP($B194,'INV500 '!$K$3:$U$1990,11,FALSE)/100</f>
        <v>9.6249999999999999E-3</v>
      </c>
      <c r="G194" s="214">
        <f t="shared" si="6"/>
        <v>1.9249999999999999E-4</v>
      </c>
      <c r="I194" s="346"/>
      <c r="J194" s="346"/>
    </row>
    <row r="195" spans="1:10" ht="15.75" customHeight="1">
      <c r="A195" s="348" t="str">
        <f>INDEX('INV500 '!$D$3:$D$402,MATCH(WebPosting!$B195,'INV500 '!$K$3:$K$402,0))</f>
        <v xml:space="preserve">TREASURY BILLS                </v>
      </c>
      <c r="B195" s="397">
        <v>17031301</v>
      </c>
      <c r="C195" s="247">
        <f>VLOOKUP(B195,'INV500 '!$K$3:$T$1990,10,FALSE)</f>
        <v>43160</v>
      </c>
      <c r="D195" s="295">
        <f>SUMPRODUCT('INV500 '!$V$3:$V$1990*((WebPosting!B195='INV500 '!$K$3:$K$1990)*1000)*('INV500 '!$O$3:$O$1990&lt;&gt;"M")*('INV500 '!$C$3:$C$1990=62)*('INV500 '!$F$3:$F$1990&lt;&gt;"TOLL HIGHWAY GENERAL          "))</f>
        <v>50000000</v>
      </c>
      <c r="E195" s="214">
        <f>VLOOKUP($B195,'INV500 '!$K$3:$U$1990,11,FALSE)/100</f>
        <v>1.0095E-2</v>
      </c>
      <c r="G195" s="214">
        <f t="shared" si="6"/>
        <v>2.019E-4</v>
      </c>
      <c r="I195" s="346"/>
      <c r="J195" s="346"/>
    </row>
    <row r="196" spans="1:10" ht="15.75" customHeight="1">
      <c r="A196" s="348" t="str">
        <f>INDEX('INV500 '!$D$3:$D$402,MATCH(WebPosting!$B196,'INV500 '!$K$3:$K$402,0))</f>
        <v xml:space="preserve">TREASURY BILLS                </v>
      </c>
      <c r="B196" s="397">
        <v>17031405</v>
      </c>
      <c r="C196" s="247">
        <f>VLOOKUP(B196,'INV500 '!$K$3:$T$1990,10,FALSE)</f>
        <v>43160</v>
      </c>
      <c r="D196" s="295">
        <f>SUMPRODUCT('INV500 '!$V$3:$V$1990*((WebPosting!B196='INV500 '!$K$3:$K$1990)*1000)*('INV500 '!$O$3:$O$1990&lt;&gt;"M")*('INV500 '!$C$3:$C$1990=62)*('INV500 '!$F$3:$F$1990&lt;&gt;"TOLL HIGHWAY GENERAL          "))</f>
        <v>50000000</v>
      </c>
      <c r="E196" s="214">
        <f>VLOOKUP($B196,'INV500 '!$K$3:$U$1990,11,FALSE)/100</f>
        <v>1.0175E-2</v>
      </c>
      <c r="G196" s="214">
        <f t="shared" si="6"/>
        <v>2.0350000000000001E-4</v>
      </c>
      <c r="I196" s="346"/>
      <c r="J196" s="346"/>
    </row>
    <row r="197" spans="1:10" ht="15.75" customHeight="1">
      <c r="A197" s="348" t="str">
        <f>INDEX('INV500 '!$D$3:$D$402,MATCH(WebPosting!$B197,'INV500 '!$K$3:$K$402,0))</f>
        <v xml:space="preserve">TREASURY NOTE                 </v>
      </c>
      <c r="B197" s="258">
        <v>16100618</v>
      </c>
      <c r="C197" s="247">
        <f>VLOOKUP(B197,'INV500 '!$K$3:$T$1990,10,FALSE)</f>
        <v>42855</v>
      </c>
      <c r="D197" s="295">
        <f>SUMPRODUCT('INV500 '!$V$3:$V$1990*((WebPosting!B197='INV500 '!$K$3:$K$1990)*1000)*('INV500 '!$O$3:$O$1990&lt;&gt;"M")*('INV500 '!$C$3:$C$1990=70)*('INV500 '!$F$3:$F$1990&lt;&gt;"TOLL HIGHWAY GENERAL          "))</f>
        <v>50000000</v>
      </c>
      <c r="E197" s="214">
        <f>VLOOKUP($B197,'INV500 '!$K$3:$U$1990,11,FALSE)/100</f>
        <v>5.0000000000000001E-3</v>
      </c>
      <c r="G197" s="214">
        <f t="shared" si="6"/>
        <v>1E-4</v>
      </c>
      <c r="I197" s="346"/>
      <c r="J197" s="346"/>
    </row>
    <row r="198" spans="1:10">
      <c r="A198" s="348" t="str">
        <f>INDEX('INV500 '!$D$3:$D$402,MATCH(WebPosting!$B198,'INV500 '!$K$3:$K$402,0))</f>
        <v xml:space="preserve">TREASURY NOTE                 </v>
      </c>
      <c r="B198" s="258">
        <v>16100714</v>
      </c>
      <c r="C198" s="247">
        <f>VLOOKUP(B198,'INV500 '!$K$3:$T$1990,10,FALSE)</f>
        <v>42947</v>
      </c>
      <c r="D198" s="295">
        <f>SUMPRODUCT('INV500 '!$V$3:$V$1990*((WebPosting!B198='INV500 '!$K$3:$K$1990)*1000)*('INV500 '!$O$3:$O$1990&lt;&gt;"M")*('INV500 '!$C$3:$C$1990=70)*('INV500 '!$F$3:$F$1990&lt;&gt;"TOLL HIGHWAY GENERAL          "))</f>
        <v>50000000</v>
      </c>
      <c r="E198" s="214">
        <f>VLOOKUP($B198,'INV500 '!$K$3:$U$1990,11,FALSE)/100</f>
        <v>6.2500000000000003E-3</v>
      </c>
      <c r="G198" s="214">
        <f t="shared" si="6"/>
        <v>1.25E-4</v>
      </c>
      <c r="I198" s="346"/>
      <c r="J198" s="346"/>
    </row>
    <row r="199" spans="1:10">
      <c r="A199" s="348" t="str">
        <f>INDEX('INV500 '!$D$3:$D$402,MATCH(WebPosting!$B199,'INV500 '!$K$3:$K$402,0))</f>
        <v xml:space="preserve">TREASURY NOTE                 </v>
      </c>
      <c r="B199" s="321">
        <v>17011307</v>
      </c>
      <c r="C199" s="247">
        <f>VLOOKUP(B199,'INV500 '!$K$3:$T$1990,10,FALSE)</f>
        <v>42947</v>
      </c>
      <c r="D199" s="295">
        <f>SUMPRODUCT('INV500 '!$V$3:$V$1990*((WebPosting!B199='INV500 '!$K$3:$K$1990)*1000)*('INV500 '!$O$3:$O$1990&lt;&gt;"M")*('INV500 '!$C$3:$C$1990=70)*('INV500 '!$F$3:$F$1990&lt;&gt;"TOLL HIGHWAY GENERAL          "))</f>
        <v>50000000</v>
      </c>
      <c r="E199" s="214">
        <f>VLOOKUP($B199,'INV500 '!$K$3:$U$1990,11,FALSE)/100</f>
        <v>5.0000000000000001E-3</v>
      </c>
      <c r="G199" s="214">
        <f t="shared" si="6"/>
        <v>1E-4</v>
      </c>
      <c r="I199" s="346"/>
      <c r="J199" s="346"/>
    </row>
    <row r="200" spans="1:10">
      <c r="A200" s="348" t="str">
        <f>INDEX('INV500 '!$D$3:$D$402,MATCH(WebPosting!$B200,'INV500 '!$K$3:$K$402,0))</f>
        <v xml:space="preserve">TREASURY NOTE                 </v>
      </c>
      <c r="B200" s="326">
        <v>16110105</v>
      </c>
      <c r="C200" s="247">
        <f>VLOOKUP(B200,'INV500 '!$K$3:$T$1990,10,FALSE)</f>
        <v>42978</v>
      </c>
      <c r="D200" s="295">
        <f>SUMPRODUCT('INV500 '!$V$3:$V$1990*((WebPosting!B200='INV500 '!$K$3:$K$1990)*1000)*('INV500 '!$O$3:$O$1990&lt;&gt;"M")*('INV500 '!$C$3:$C$1990=70)*('INV500 '!$F$3:$F$1990&lt;&gt;"TOLL HIGHWAY GENERAL          "))</f>
        <v>50000000</v>
      </c>
      <c r="E200" s="214">
        <f>VLOOKUP($B200,'INV500 '!$K$3:$U$1990,11,FALSE)/100</f>
        <v>6.2500000000000003E-3</v>
      </c>
      <c r="G200" s="214">
        <f t="shared" si="6"/>
        <v>1.25E-4</v>
      </c>
      <c r="I200" s="346"/>
      <c r="J200" s="346"/>
    </row>
    <row r="201" spans="1:10">
      <c r="A201" s="348" t="str">
        <f>INDEX('INV500 '!$D$3:$D$402,MATCH(WebPosting!$B201,'INV500 '!$K$3:$K$402,0))</f>
        <v xml:space="preserve">TREASURY NOTE                 </v>
      </c>
      <c r="B201" s="283">
        <v>16120106</v>
      </c>
      <c r="C201" s="247">
        <f>VLOOKUP(B201,'INV500 '!$K$3:$T$1990,10,FALSE)</f>
        <v>42978</v>
      </c>
      <c r="D201" s="295">
        <f>SUMPRODUCT('INV500 '!$V$3:$V$1990*((WebPosting!B201='INV500 '!$K$3:$K$1990)*1000)*('INV500 '!$O$3:$O$1990&lt;&gt;"M")*('INV500 '!$C$3:$C$1990=70)*('INV500 '!$F$3:$F$1990&lt;&gt;"TOLL HIGHWAY GENERAL          "))</f>
        <v>50000000</v>
      </c>
      <c r="E201" s="214">
        <f>VLOOKUP($B201,'INV500 '!$K$3:$U$1990,11,FALSE)/100</f>
        <v>6.2500000000000003E-3</v>
      </c>
      <c r="G201" s="214">
        <f t="shared" si="6"/>
        <v>1.25E-4</v>
      </c>
      <c r="I201" s="346"/>
      <c r="J201" s="346"/>
    </row>
    <row r="202" spans="1:10">
      <c r="A202" s="348" t="str">
        <f>INDEX('INV500 '!$D$3:$D$402,MATCH(WebPosting!$B202,'INV500 '!$K$3:$K$402,0))</f>
        <v xml:space="preserve">TREASURY NOTE                 </v>
      </c>
      <c r="B202" s="320">
        <v>16120616</v>
      </c>
      <c r="C202" s="247">
        <f>VLOOKUP(B202,'INV500 '!$K$3:$T$1990,10,FALSE)</f>
        <v>43008</v>
      </c>
      <c r="D202" s="295">
        <f>SUMPRODUCT('INV500 '!$V$3:$V$1990*((WebPosting!B202='INV500 '!$K$3:$K$1990)*1000)*('INV500 '!$O$3:$O$1990&lt;&gt;"M")*('INV500 '!$C$3:$C$1990=70)*('INV500 '!$F$3:$F$1990&lt;&gt;"TOLL HIGHWAY GENERAL          "))</f>
        <v>50000000</v>
      </c>
      <c r="E202" s="214">
        <f>VLOOKUP($B202,'INV500 '!$K$3:$U$1990,11,FALSE)/100</f>
        <v>6.2500000000000003E-3</v>
      </c>
      <c r="G202" s="214">
        <f t="shared" si="6"/>
        <v>1.25E-4</v>
      </c>
      <c r="I202" s="346"/>
      <c r="J202" s="346"/>
    </row>
    <row r="203" spans="1:10">
      <c r="A203" s="348" t="str">
        <f>INDEX('INV500 '!$D$3:$D$402,MATCH(WebPosting!$B203,'INV500 '!$K$3:$K$402,0))</f>
        <v xml:space="preserve">TREASURY NOTE                 </v>
      </c>
      <c r="B203" s="339">
        <v>16121604</v>
      </c>
      <c r="C203" s="247">
        <f>VLOOKUP(B203,'INV500 '!$K$3:$T$1990,10,FALSE)</f>
        <v>43008</v>
      </c>
      <c r="D203" s="295">
        <f>SUMPRODUCT('INV500 '!$V$3:$V$1990*((WebPosting!B203='INV500 '!$K$3:$K$1990)*1000)*('INV500 '!$O$3:$O$1990&lt;&gt;"M")*('INV500 '!$C$3:$C$1990=70)*('INV500 '!$F$3:$F$1990&lt;&gt;"TOLL HIGHWAY GENERAL          "))</f>
        <v>50000000</v>
      </c>
      <c r="E203" s="214">
        <f>VLOOKUP($B203,'INV500 '!$K$3:$U$1990,11,FALSE)/100</f>
        <v>6.2500000000000003E-3</v>
      </c>
      <c r="G203" s="214">
        <f t="shared" si="6"/>
        <v>1.25E-4</v>
      </c>
      <c r="I203" s="346"/>
      <c r="J203" s="346"/>
    </row>
    <row r="204" spans="1:10">
      <c r="A204" s="348" t="str">
        <f>INDEX('INV500 '!$D$3:$D$402,MATCH(WebPosting!$B204,'INV500 '!$K$3:$K$402,0))</f>
        <v xml:space="preserve">TREASURY NOTE                 </v>
      </c>
      <c r="B204" s="321">
        <v>17011311</v>
      </c>
      <c r="C204" s="247">
        <f>VLOOKUP(B204,'INV500 '!$K$3:$T$1990,10,FALSE)</f>
        <v>43008</v>
      </c>
      <c r="D204" s="295">
        <f>SUMPRODUCT('INV500 '!$V$3:$V$1990*((WebPosting!B204='INV500 '!$K$3:$K$1990)*1000)*('INV500 '!$O$3:$O$1990&lt;&gt;"M")*('INV500 '!$C$3:$C$1990=70)*('INV500 '!$F$3:$F$1990&lt;&gt;"TOLL HIGHWAY GENERAL          "))</f>
        <v>50000000</v>
      </c>
      <c r="E204" s="214">
        <f>VLOOKUP($B204,'INV500 '!$K$3:$U$1990,11,FALSE)/100</f>
        <v>6.2500000000000003E-3</v>
      </c>
      <c r="G204" s="214">
        <f t="shared" si="6"/>
        <v>1.25E-4</v>
      </c>
      <c r="I204" s="346"/>
      <c r="J204" s="346"/>
    </row>
    <row r="205" spans="1:10">
      <c r="A205" s="348" t="str">
        <f>INDEX('INV500 '!$D$3:$D$402,MATCH(WebPosting!$B205,'INV500 '!$K$3:$K$402,0))</f>
        <v xml:space="preserve">TREASURY NOTE                 </v>
      </c>
      <c r="B205" s="397">
        <v>17031609</v>
      </c>
      <c r="C205" s="247">
        <f>VLOOKUP(B205,'INV500 '!$K$3:$T$1990,10,FALSE)</f>
        <v>43008</v>
      </c>
      <c r="D205" s="295">
        <f>SUMPRODUCT('INV500 '!$V$3:$V$1990*((WebPosting!B205='INV500 '!$K$3:$K$1990)*1000)*('INV500 '!$O$3:$O$1990&lt;&gt;"M")*('INV500 '!$C$3:$C$1990=70)*('INV500 '!$F$3:$F$1990&lt;&gt;"TOLL HIGHWAY GENERAL          "))</f>
        <v>50000000</v>
      </c>
      <c r="E205" s="214">
        <f>VLOOKUP($B205,'INV500 '!$K$3:$U$1990,11,FALSE)/100</f>
        <v>6.2500000000000003E-3</v>
      </c>
      <c r="G205" s="214">
        <f t="shared" si="6"/>
        <v>1.25E-4</v>
      </c>
      <c r="I205" s="346"/>
      <c r="J205" s="346"/>
    </row>
    <row r="206" spans="1:10">
      <c r="A206" s="348" t="str">
        <f>INDEX('INV500 '!$D$3:$D$402,MATCH(WebPosting!$B206,'INV500 '!$K$3:$K$402,0))</f>
        <v xml:space="preserve">TREASURY NOTE                 </v>
      </c>
      <c r="B206" s="228">
        <v>17032205</v>
      </c>
      <c r="C206" s="247">
        <f>VLOOKUP(B206,'INV500 '!$K$3:$T$1990,10,FALSE)</f>
        <v>43008</v>
      </c>
      <c r="D206" s="295">
        <f>SUMPRODUCT('INV500 '!$V$3:$V$1990*((WebPosting!B206='INV500 '!$K$3:$K$1990)*1000)*('INV500 '!$O$3:$O$1990&lt;&gt;"M")*('INV500 '!$C$3:$C$1990=70)*('INV500 '!$F$3:$F$1990&lt;&gt;"TOLL HIGHWAY GENERAL          "))</f>
        <v>50000000</v>
      </c>
      <c r="E206" s="214">
        <f>VLOOKUP($B206,'INV500 '!$K$3:$U$1990,11,FALSE)/100</f>
        <v>6.2500000000000003E-3</v>
      </c>
      <c r="G206" s="214">
        <f t="shared" si="6"/>
        <v>1.25E-4</v>
      </c>
      <c r="I206" s="346"/>
      <c r="J206" s="346"/>
    </row>
    <row r="207" spans="1:10">
      <c r="A207" s="348" t="str">
        <f>INDEX('INV500 '!$D$3:$D$402,MATCH(WebPosting!$B207,'INV500 '!$K$3:$K$402,0))</f>
        <v xml:space="preserve">TREASURY NOTE                 </v>
      </c>
      <c r="B207" s="339">
        <v>16121310</v>
      </c>
      <c r="C207" s="247">
        <f>VLOOKUP(B207,'INV500 '!$K$3:$T$1990,10,FALSE)</f>
        <v>43039</v>
      </c>
      <c r="D207" s="295">
        <f>SUMPRODUCT('INV500 '!$V$3:$V$1990*((WebPosting!B207='INV500 '!$K$3:$K$1990)*1000)*('INV500 '!$O$3:$O$1990&lt;&gt;"M")*('INV500 '!$C$3:$C$1990=70)*('INV500 '!$F$3:$F$1990&lt;&gt;"TOLL HIGHWAY GENERAL          "))</f>
        <v>50000000</v>
      </c>
      <c r="E207" s="214">
        <f>VLOOKUP($B207,'INV500 '!$K$3:$U$1990,11,FALSE)/100</f>
        <v>7.4999999999999997E-3</v>
      </c>
      <c r="G207" s="214">
        <f t="shared" si="6"/>
        <v>1.4999999999999999E-4</v>
      </c>
      <c r="I207" s="346"/>
      <c r="J207" s="346"/>
    </row>
    <row r="208" spans="1:10">
      <c r="A208" s="348" t="str">
        <f>INDEX('INV500 '!$D$3:$D$402,MATCH(WebPosting!$B208,'INV500 '!$K$3:$K$402,0))</f>
        <v xml:space="preserve">TREASURY NOTE                 </v>
      </c>
      <c r="B208" s="326">
        <v>16110414</v>
      </c>
      <c r="C208" s="247">
        <f>VLOOKUP(B208,'INV500 '!$K$3:$T$1990,10,FALSE)</f>
        <v>43069</v>
      </c>
      <c r="D208" s="295">
        <f>SUMPRODUCT('INV500 '!$V$3:$V$1990*((WebPosting!B208='INV500 '!$K$3:$K$1990)*1000)*('INV500 '!$O$3:$O$1990&lt;&gt;"M")*('INV500 '!$C$3:$C$1990=70)*('INV500 '!$F$3:$F$1990&lt;&gt;"TOLL HIGHWAY GENERAL          "))</f>
        <v>50000000</v>
      </c>
      <c r="E208" s="214">
        <f>VLOOKUP($B208,'INV500 '!$K$3:$U$1990,11,FALSE)/100</f>
        <v>6.2500000000000003E-3</v>
      </c>
      <c r="G208" s="214">
        <f t="shared" si="6"/>
        <v>1.25E-4</v>
      </c>
      <c r="I208" s="346"/>
      <c r="J208" s="346"/>
    </row>
    <row r="209" spans="1:10">
      <c r="A209" s="348" t="str">
        <f>INDEX('INV500 '!$D$3:$D$402,MATCH(WebPosting!$B209,'INV500 '!$K$3:$K$402,0))</f>
        <v xml:space="preserve">TREASURY NOTE                 </v>
      </c>
      <c r="B209" s="405">
        <v>17013007</v>
      </c>
      <c r="C209" s="247">
        <f>VLOOKUP(B209,'INV500 '!$K$3:$T$1990,10,FALSE)</f>
        <v>43100</v>
      </c>
      <c r="D209" s="295">
        <f>SUMPRODUCT('INV500 '!$V$3:$V$1990*((WebPosting!B209='INV500 '!$K$3:$K$1990)*1000)*('INV500 '!$O$3:$O$1990&lt;&gt;"M")*('INV500 '!$C$3:$C$1990=70)*('INV500 '!$F$3:$F$1990&lt;&gt;"TOLL HIGHWAY GENERAL          "))</f>
        <v>50000000</v>
      </c>
      <c r="E209" s="214">
        <f>VLOOKUP($B209,'INV500 '!$K$3:$U$1990,11,FALSE)/100</f>
        <v>7.4999999999999997E-3</v>
      </c>
      <c r="G209" s="214">
        <f t="shared" si="6"/>
        <v>1.4999999999999999E-4</v>
      </c>
      <c r="I209" s="346"/>
      <c r="J209" s="346"/>
    </row>
    <row r="210" spans="1:10">
      <c r="A210" s="348" t="str">
        <f>INDEX('INV500 '!$D$3:$D$402,MATCH(WebPosting!$B210,'INV500 '!$K$3:$K$402,0))</f>
        <v xml:space="preserve">TREASURY NOTE                 </v>
      </c>
      <c r="B210" s="397">
        <v>17031610</v>
      </c>
      <c r="C210" s="247">
        <f>VLOOKUP(B210,'INV500 '!$K$3:$T$1990,10,FALSE)</f>
        <v>43100</v>
      </c>
      <c r="D210" s="295">
        <f>SUMPRODUCT('INV500 '!$V$3:$V$1990*((WebPosting!B210='INV500 '!$K$3:$K$1990)*1000)*('INV500 '!$O$3:$O$1990&lt;&gt;"M")*('INV500 '!$C$3:$C$1990=70)*('INV500 '!$F$3:$F$1990&lt;&gt;"TOLL HIGHWAY GENERAL          "))</f>
        <v>50000000</v>
      </c>
      <c r="E210" s="214">
        <f>VLOOKUP($B210,'INV500 '!$K$3:$U$1990,11,FALSE)/100</f>
        <v>0.01</v>
      </c>
      <c r="G210" s="214">
        <f t="shared" si="6"/>
        <v>2.0000000000000001E-4</v>
      </c>
      <c r="I210" s="346"/>
      <c r="J210" s="346"/>
    </row>
    <row r="211" spans="1:10">
      <c r="A211" s="348" t="str">
        <f>INDEX('INV500 '!$D$3:$D$402,MATCH(WebPosting!$B211,'INV500 '!$K$3:$K$402,0))</f>
        <v xml:space="preserve">TREASURY NOTE                 </v>
      </c>
      <c r="B211" s="228">
        <v>17032204</v>
      </c>
      <c r="C211" s="247">
        <f>VLOOKUP(B211,'INV500 '!$K$3:$T$1990,10,FALSE)</f>
        <v>43100</v>
      </c>
      <c r="D211" s="295">
        <f>SUMPRODUCT('INV500 '!$V$3:$V$1990*((WebPosting!B211='INV500 '!$K$3:$K$1990)*1000)*('INV500 '!$O$3:$O$1990&lt;&gt;"M")*('INV500 '!$C$3:$C$1990=70)*('INV500 '!$F$3:$F$1990&lt;&gt;"TOLL HIGHWAY GENERAL          "))</f>
        <v>50000000</v>
      </c>
      <c r="E211" s="214">
        <f>VLOOKUP($B211,'INV500 '!$K$3:$U$1990,11,FALSE)/100</f>
        <v>7.4999999999999997E-3</v>
      </c>
      <c r="G211" s="214">
        <f t="shared" si="6"/>
        <v>1.4999999999999999E-4</v>
      </c>
      <c r="I211" s="346"/>
      <c r="J211" s="346"/>
    </row>
    <row r="212" spans="1:10">
      <c r="A212" s="348" t="str">
        <f>INDEX('INV500 '!$D$3:$D$402,MATCH(WebPosting!$B212,'INV500 '!$K$3:$K$402,0))</f>
        <v xml:space="preserve">TREASURY NOTE                 </v>
      </c>
      <c r="B212" s="405">
        <v>17013006</v>
      </c>
      <c r="C212" s="247">
        <f>VLOOKUP(B212,'INV500 '!$K$3:$T$1990,10,FALSE)</f>
        <v>43131</v>
      </c>
      <c r="D212" s="295">
        <f>SUMPRODUCT('INV500 '!$V$3:$V$1990*((WebPosting!B212='INV500 '!$K$3:$K$1990)*1000)*('INV500 '!$O$3:$O$1990&lt;&gt;"M")*('INV500 '!$C$3:$C$1990=70)*('INV500 '!$F$3:$F$1990&lt;&gt;"TOLL HIGHWAY GENERAL          "))</f>
        <v>50000000</v>
      </c>
      <c r="E212" s="214">
        <f>VLOOKUP($B212,'INV500 '!$K$3:$U$1990,11,FALSE)/100</f>
        <v>7.4999999999999997E-3</v>
      </c>
      <c r="G212" s="214">
        <f t="shared" si="6"/>
        <v>1.4999999999999999E-4</v>
      </c>
      <c r="I212" s="346"/>
      <c r="J212" s="346"/>
    </row>
    <row r="213" spans="1:10">
      <c r="A213" s="348" t="str">
        <f>INDEX('INV500 '!$D$3:$D$402,MATCH(WebPosting!$B213,'INV500 '!$K$3:$K$402,0))</f>
        <v xml:space="preserve">TREASURY NOTE                 </v>
      </c>
      <c r="B213" s="416">
        <v>17033111</v>
      </c>
      <c r="C213" s="247">
        <f>VLOOKUP(B213,'INV500 '!$K$3:$T$1990,10,FALSE)</f>
        <v>43190</v>
      </c>
      <c r="D213" s="295">
        <f>SUMPRODUCT('INV500 '!$V$3:$V$1990*((WebPosting!B213='INV500 '!$K$3:$K$1990)*1000)*('INV500 '!$O$3:$O$1990&lt;&gt;"M")*('INV500 '!$C$3:$C$1990=70)*('INV500 '!$F$3:$F$1990&lt;&gt;"TOLL HIGHWAY GENERAL          "))</f>
        <v>50000000</v>
      </c>
      <c r="E213" s="214">
        <f>VLOOKUP($B213,'INV500 '!$K$3:$U$1990,11,FALSE)/100</f>
        <v>7.4999999999999997E-3</v>
      </c>
      <c r="G213" s="214">
        <f t="shared" si="6"/>
        <v>1.4999999999999999E-4</v>
      </c>
      <c r="I213" s="346"/>
      <c r="J213" s="346"/>
    </row>
    <row r="214" spans="1:10">
      <c r="A214" s="348" t="str">
        <f>INDEX('INV500 '!$D$3:$D$402,MATCH(WebPosting!$B214,'INV500 '!$K$3:$K$402,0))</f>
        <v xml:space="preserve">TREASURY NOTE                 </v>
      </c>
      <c r="B214" s="416">
        <v>17033112</v>
      </c>
      <c r="C214" s="247">
        <f>VLOOKUP(B214,'INV500 '!$K$3:$T$1990,10,FALSE)</f>
        <v>43190</v>
      </c>
      <c r="D214" s="295">
        <f>SUMPRODUCT('INV500 '!$V$3:$V$1990*((WebPosting!B214='INV500 '!$K$3:$K$1990)*1000)*('INV500 '!$O$3:$O$1990&lt;&gt;"M")*('INV500 '!$C$3:$C$1990=70)*('INV500 '!$F$3:$F$1990&lt;&gt;"TOLL HIGHWAY GENERAL          "))</f>
        <v>50000000</v>
      </c>
      <c r="E214" s="214">
        <f>VLOOKUP($B214,'INV500 '!$K$3:$U$1990,11,FALSE)/100</f>
        <v>8.7500000000000008E-3</v>
      </c>
      <c r="G214" s="214">
        <f t="shared" si="6"/>
        <v>1.7500000000000003E-4</v>
      </c>
      <c r="I214" s="346"/>
      <c r="J214" s="346"/>
    </row>
    <row r="215" spans="1:10">
      <c r="A215" s="348" t="str">
        <f>INDEX('INV500 '!$D$3:$D$402,MATCH(WebPosting!$B215,'INV500 '!$K$3:$K$402,0))</f>
        <v xml:space="preserve">TREASURY NOTE                 </v>
      </c>
      <c r="B215" s="416">
        <v>17033113</v>
      </c>
      <c r="C215" s="247">
        <f>VLOOKUP(B215,'INV500 '!$K$3:$T$1990,10,FALSE)</f>
        <v>43190</v>
      </c>
      <c r="D215" s="295">
        <f>SUMPRODUCT('INV500 '!$V$3:$V$1990*((WebPosting!B215='INV500 '!$K$3:$K$1990)*1000)*('INV500 '!$O$3:$O$1990&lt;&gt;"M")*('INV500 '!$C$3:$C$1990=70)*('INV500 '!$F$3:$F$1990&lt;&gt;"TOLL HIGHWAY GENERAL          "))</f>
        <v>50000000</v>
      </c>
      <c r="E215" s="214">
        <f>VLOOKUP($B215,'INV500 '!$K$3:$U$1990,11,FALSE)/100</f>
        <v>8.7500000000000008E-3</v>
      </c>
      <c r="G215" s="214">
        <f t="shared" ref="G215:G216" si="7">($D215*$E215)/$D$220</f>
        <v>1.7500000000000003E-4</v>
      </c>
      <c r="I215" s="346"/>
      <c r="J215" s="346"/>
    </row>
    <row r="216" spans="1:10">
      <c r="A216" s="348" t="str">
        <f>INDEX('INV500 '!$D$3:$D$402,MATCH(WebPosting!$B216,'INV500 '!$K$3:$K$402,0))</f>
        <v xml:space="preserve">TREASURY NOTE                 </v>
      </c>
      <c r="B216" s="416">
        <v>17033114</v>
      </c>
      <c r="C216" s="247">
        <f>VLOOKUP(B216,'INV500 '!$K$3:$T$1990,10,FALSE)</f>
        <v>43190</v>
      </c>
      <c r="D216" s="295">
        <f>SUMPRODUCT('INV500 '!$V$3:$V$1990*((WebPosting!B216='INV500 '!$K$3:$K$1990)*1000)*('INV500 '!$O$3:$O$1990&lt;&gt;"M")*('INV500 '!$C$3:$C$1990=70)*('INV500 '!$F$3:$F$1990&lt;&gt;"TOLL HIGHWAY GENERAL          "))</f>
        <v>50000000</v>
      </c>
      <c r="E216" s="214">
        <f>VLOOKUP($B216,'INV500 '!$K$3:$U$1990,11,FALSE)/100</f>
        <v>8.7500000000000008E-3</v>
      </c>
      <c r="G216" s="214">
        <f t="shared" si="7"/>
        <v>1.7500000000000003E-4</v>
      </c>
      <c r="I216" s="346"/>
      <c r="J216" s="346"/>
    </row>
    <row r="217" spans="1:10">
      <c r="A217" s="348" t="str">
        <f>INDEX('INV500 '!$D$3:$D$402,MATCH(WebPosting!$B217,'INV500 '!$K$3:$K$402,0))</f>
        <v xml:space="preserve">TREASURY NOTE                 </v>
      </c>
      <c r="B217" s="314">
        <v>14013101</v>
      </c>
      <c r="C217" s="247">
        <f>VLOOKUP(B217,'INV500 '!$K$3:$T$1990,10,FALSE)</f>
        <v>43496</v>
      </c>
      <c r="D217" s="295">
        <f>SUMPRODUCT('INV500 '!$V$3:$V$1990*((WebPosting!B217='INV500 '!$K$3:$K$1990)*1000)*('INV500 '!$O$3:$O$1990&lt;&gt;"M")*('INV500 '!$C$3:$C$1990=70)*('INV500 '!$F$3:$F$1990&lt;&gt;"TOLL HIGHWAY GENERAL          "))</f>
        <v>25000000</v>
      </c>
      <c r="E217" s="214">
        <f>VLOOKUP($B217,'INV500 '!$K$3:$U$1990,11,FALSE)/100</f>
        <v>1.4999999999999999E-2</v>
      </c>
      <c r="G217" s="214">
        <f>($D217*$E217)/$D$220</f>
        <v>1.4999999999999999E-4</v>
      </c>
      <c r="I217" s="346"/>
      <c r="J217" s="346"/>
    </row>
    <row r="218" spans="1:10" ht="15.75" customHeight="1">
      <c r="A218" s="348" t="str">
        <f>INDEX('INV500 '!$D$3:$D$402,MATCH(WebPosting!$B218,'INV500 '!$K$3:$K$402,0))</f>
        <v xml:space="preserve">TREASURY NOTE                 </v>
      </c>
      <c r="B218" s="314">
        <v>14030506</v>
      </c>
      <c r="C218" s="247">
        <f>VLOOKUP(B218,'INV500 '!$K$3:$T$1990,10,FALSE)</f>
        <v>43524</v>
      </c>
      <c r="D218" s="295">
        <f>SUMPRODUCT('INV500 '!$V$3:$V$1990*((WebPosting!B218='INV500 '!$K$3:$K$1990)*1000)*('INV500 '!$O$3:$O$1990&lt;&gt;"M")*('INV500 '!$C$3:$C$1990=70)*('INV500 '!$F$3:$F$1990&lt;&gt;"TOLL HIGHWAY GENERAL          "))</f>
        <v>25000000</v>
      </c>
      <c r="E218" s="214">
        <f>VLOOKUP($B218,'INV500 '!$K$3:$U$1990,11,FALSE)/100</f>
        <v>1.4999999999999999E-2</v>
      </c>
      <c r="G218" s="214">
        <f>($D218*$E218)/$D$220</f>
        <v>1.4999999999999999E-4</v>
      </c>
      <c r="I218" s="346"/>
      <c r="J218" s="346"/>
    </row>
    <row r="219" spans="1:10" ht="6.75" customHeight="1">
      <c r="A219" s="273"/>
      <c r="C219" s="247"/>
      <c r="D219" s="347"/>
      <c r="G219" s="214">
        <f>($D219*$E219)/$D$220</f>
        <v>0</v>
      </c>
      <c r="I219" s="346"/>
      <c r="J219" s="346"/>
    </row>
    <row r="220" spans="1:10" ht="14.25" customHeight="1">
      <c r="A220" s="277" t="s">
        <v>284</v>
      </c>
      <c r="C220" s="247"/>
      <c r="D220" s="291">
        <f>SUM(D161:D219)</f>
        <v>2500000000</v>
      </c>
      <c r="I220" s="346"/>
      <c r="J220" s="346"/>
    </row>
    <row r="221" spans="1:10">
      <c r="A221" s="273"/>
      <c r="C221" s="247"/>
      <c r="D221" s="291"/>
      <c r="I221" s="346"/>
      <c r="J221" s="346"/>
    </row>
    <row r="222" spans="1:10">
      <c r="A222" s="273"/>
      <c r="C222" s="247"/>
      <c r="D222" s="291"/>
      <c r="I222" s="346"/>
      <c r="J222" s="346"/>
    </row>
    <row r="223" spans="1:10" ht="18">
      <c r="A223" s="436" t="s">
        <v>283</v>
      </c>
      <c r="B223" s="436"/>
      <c r="C223" s="436"/>
      <c r="D223" s="436"/>
      <c r="E223" s="436"/>
      <c r="F223" s="274"/>
      <c r="G223" s="274"/>
      <c r="I223" s="346"/>
      <c r="J223" s="346"/>
    </row>
    <row r="224" spans="1:10">
      <c r="A224" s="273" t="s">
        <v>258</v>
      </c>
      <c r="B224" s="272"/>
      <c r="C224" s="300" t="s">
        <v>267</v>
      </c>
      <c r="D224" s="270" t="s">
        <v>257</v>
      </c>
      <c r="E224" s="299" t="s">
        <v>266</v>
      </c>
      <c r="F224" s="268" t="s">
        <v>282</v>
      </c>
      <c r="G224" s="317" t="e">
        <f>SUM(G225:G344)</f>
        <v>#N/A</v>
      </c>
    </row>
    <row r="225" spans="1:7">
      <c r="A225" s="211" t="str">
        <f>INDEX('INV500 '!$D$3:$D$402,MATCH(WebPosting!$B225,'INV500 '!$K$3:$K$402,0))</f>
        <v xml:space="preserve">FFCB NOTES                    </v>
      </c>
      <c r="B225" s="316">
        <v>16060609</v>
      </c>
      <c r="C225" s="247">
        <f>VLOOKUP(B225,'INV500 '!$K$3:$T$1990,10,FALSE)</f>
        <v>43075</v>
      </c>
      <c r="D225" s="295">
        <f>SUMPRODUCT('INV500 '!$V$3:$V$1990*((WebPosting!B225='INV500 '!$K$3:$K$1990)*1000)*('INV500 '!$O$3:$O$1990&lt;&gt;"M")*('INV500 '!$C$3:$C$1990=86))</f>
        <v>25000000</v>
      </c>
      <c r="E225" s="214">
        <f>VLOOKUP($B225,'INV500 '!$K$3:$U$1990,11,FALSE)/100</f>
        <v>8.5000000000000006E-3</v>
      </c>
      <c r="G225" s="214">
        <f>($D225*$E225)/($D$345+$D$369)</f>
        <v>6.4179042454079257E-5</v>
      </c>
    </row>
    <row r="226" spans="1:7" ht="15.75" customHeight="1">
      <c r="A226" s="211" t="str">
        <f>INDEX('INV500 '!$D$3:$D$402,MATCH(WebPosting!$B226,'INV500 '!$K$3:$K$402,0))</f>
        <v xml:space="preserve">FFCB NOTES                    </v>
      </c>
      <c r="B226" s="312">
        <v>16071120</v>
      </c>
      <c r="C226" s="247">
        <f>VLOOKUP(B226,'INV500 '!$K$3:$T$1990,10,FALSE)</f>
        <v>43111</v>
      </c>
      <c r="D226" s="295">
        <f>SUMPRODUCT('INV500 '!$V$3:$V$1990*((WebPosting!B226='INV500 '!$K$3:$K$1990)*1000)*('INV500 '!$O$3:$O$1990&lt;&gt;"M")*('INV500 '!$C$3:$C$1990=86))</f>
        <v>25000000</v>
      </c>
      <c r="E226" s="214">
        <f>VLOOKUP($B226,'INV500 '!$K$3:$U$1990,11,FALSE)/100</f>
        <v>6.8999999999999999E-3</v>
      </c>
      <c r="G226" s="214">
        <f>($D226*$E226)/($D$345+$D$369)</f>
        <v>5.2098281521546683E-5</v>
      </c>
    </row>
    <row r="227" spans="1:7" ht="15.75" customHeight="1">
      <c r="A227" s="211" t="str">
        <f>INDEX('INV500 '!$D$3:$D$402,MATCH(WebPosting!$B227,'INV500 '!$K$3:$K$402,0))</f>
        <v xml:space="preserve">FFCB NOTES                    </v>
      </c>
      <c r="B227" s="258">
        <v>16100522</v>
      </c>
      <c r="C227" s="247">
        <f>VLOOKUP(B227,'INV500 '!$K$3:$T$1990,10,FALSE)</f>
        <v>43202</v>
      </c>
      <c r="D227" s="295">
        <f>SUMPRODUCT('INV500 '!$V$3:$V$1990*((WebPosting!B227='INV500 '!$K$3:$K$1990)*1000)*('INV500 '!$O$3:$O$1990&lt;&gt;"M")*('INV500 '!$C$3:$C$1990=86))</f>
        <v>25000000</v>
      </c>
      <c r="E227" s="214">
        <f>VLOOKUP($B227,'INV500 '!$K$3:$U$1990,11,FALSE)/100</f>
        <v>7.9000000000000008E-3</v>
      </c>
      <c r="G227" s="214">
        <f>($D227*$E227)/($D$345+$D$369)</f>
        <v>5.9648757104379544E-5</v>
      </c>
    </row>
    <row r="228" spans="1:7" ht="15.75" customHeight="1">
      <c r="A228" s="211" t="str">
        <f>INDEX('INV500 '!$D$3:$D$402,MATCH(WebPosting!$B228,'INV500 '!$K$3:$K$402,0))</f>
        <v xml:space="preserve">FFCB NOTES                    </v>
      </c>
      <c r="B228" s="413">
        <v>17032703</v>
      </c>
      <c r="C228" s="247">
        <f>VLOOKUP(B228,'INV500 '!$K$3:$T$1990,10,FALSE)</f>
        <v>43278</v>
      </c>
      <c r="D228" s="295">
        <f>SUMPRODUCT('INV500 '!$V$3:$V$1990*((WebPosting!B228='INV500 '!$K$3:$K$1990)*1000)*('INV500 '!$O$3:$O$1990&lt;&gt;"M")*('INV500 '!$C$3:$C$1990=86))</f>
        <v>25000000</v>
      </c>
      <c r="E228" s="214">
        <f>VLOOKUP($B228,'INV500 '!$K$3:$U$1990,11,FALSE)/100</f>
        <v>1.18E-2</v>
      </c>
      <c r="G228" s="214">
        <f>($D228*$E228)/($D$345+$D$369)</f>
        <v>8.9095611877427659E-5</v>
      </c>
    </row>
    <row r="229" spans="1:7" ht="15.75" customHeight="1">
      <c r="A229" s="211" t="str">
        <f>INDEX('INV500 '!$D$3:$D$402,MATCH(WebPosting!$B229,'INV500 '!$K$3:$K$402,0))</f>
        <v xml:space="preserve">FFCB NOTES                    </v>
      </c>
      <c r="B229" s="405">
        <v>17020104</v>
      </c>
      <c r="C229" s="247">
        <f>VLOOKUP(B229,'INV500 '!$K$3:$T$1990,10,FALSE)</f>
        <v>43497</v>
      </c>
      <c r="D229" s="295">
        <f>SUMPRODUCT('INV500 '!$V$3:$V$1990*((WebPosting!B229='INV500 '!$K$3:$K$1990)*1000)*('INV500 '!$O$3:$O$1990&lt;&gt;"M")*('INV500 '!$C$3:$C$1990=86))</f>
        <v>25000000</v>
      </c>
      <c r="E229" s="214">
        <f>VLOOKUP($B229,'INV500 '!$K$3:$U$1990,11,FALSE)/100</f>
        <v>1.3000000000000001E-2</v>
      </c>
      <c r="G229" s="214">
        <f>($D229*$E229)/($D$345+$D$369)</f>
        <v>9.8156182576827084E-5</v>
      </c>
    </row>
    <row r="230" spans="1:7" ht="15.75" customHeight="1">
      <c r="A230" s="211" t="str">
        <f>INDEX('INV500 '!$D$3:$D$402,MATCH(WebPosting!$B230,'INV500 '!$K$3:$K$402,0))</f>
        <v xml:space="preserve">FFCB NOTES                    </v>
      </c>
      <c r="B230" s="410">
        <v>17030611</v>
      </c>
      <c r="C230" s="247">
        <f>VLOOKUP(B230,'INV500 '!$K$3:$T$1990,10,FALSE)</f>
        <v>43523</v>
      </c>
      <c r="D230" s="295">
        <f>SUMPRODUCT('INV500 '!$V$3:$V$1990*((WebPosting!B230='INV500 '!$K$3:$K$1990)*1000)*('INV500 '!$O$3:$O$1990&lt;&gt;"M")*('INV500 '!$C$3:$C$1990=86))</f>
        <v>25000000</v>
      </c>
      <c r="E230" s="214">
        <f>VLOOKUP($B230,'INV500 '!$K$3:$U$1990,11,FALSE)/100</f>
        <v>1.2500000000000001E-2</v>
      </c>
      <c r="G230" s="214">
        <f>($D230*$E230)/($D$345+$D$369)</f>
        <v>9.438094478541066E-5</v>
      </c>
    </row>
    <row r="231" spans="1:7" ht="15.75" customHeight="1">
      <c r="A231" s="211" t="str">
        <f>INDEX('INV500 '!$D$3:$D$402,MATCH(WebPosting!$B231,'INV500 '!$K$3:$K$402,0))</f>
        <v xml:space="preserve">FHLB NOTES                    </v>
      </c>
      <c r="B231" s="260">
        <v>14041106</v>
      </c>
      <c r="C231" s="247">
        <f>VLOOKUP(B231,'INV500 '!$K$3:$T$1990,10,FALSE)</f>
        <v>42879</v>
      </c>
      <c r="D231" s="295">
        <f>SUMPRODUCT('INV500 '!$V$3:$V$1990*((WebPosting!B231='INV500 '!$K$3:$K$1990)*1000)*('INV500 '!$O$3:$O$1990&lt;&gt;"M")*('INV500 '!$C$3:$C$1990=87))</f>
        <v>14000000</v>
      </c>
      <c r="E231" s="214">
        <f>VLOOKUP($B231,'INV500 '!$K$3:$U$1990,11,FALSE)/100</f>
        <v>8.7500000000000008E-3</v>
      </c>
      <c r="G231" s="214">
        <f>($D231*$E231)/($D$345+$D$369)</f>
        <v>3.6997330355880982E-5</v>
      </c>
    </row>
    <row r="232" spans="1:7">
      <c r="A232" s="211" t="str">
        <f>INDEX('INV500 '!$D$3:$D$402,MATCH(WebPosting!$B232,'INV500 '!$K$3:$K$402,0))</f>
        <v xml:space="preserve">FHLB NOTES                    </v>
      </c>
      <c r="B232" s="254">
        <v>16072511</v>
      </c>
      <c r="C232" s="247">
        <f>VLOOKUP(B232,'INV500 '!$K$3:$T$1990,10,FALSE)</f>
        <v>42972</v>
      </c>
      <c r="D232" s="295">
        <f>SUMPRODUCT('INV500 '!$V$3:$V$1990*((WebPosting!B232='INV500 '!$K$3:$K$1990)*1000)*('INV500 '!$O$3:$O$1990&lt;&gt;"M")*('INV500 '!$C$3:$C$1990=87))</f>
        <v>25000000</v>
      </c>
      <c r="E232" s="214">
        <f>VLOOKUP($B232,'INV500 '!$K$3:$U$1990,11,FALSE)/100</f>
        <v>7.0999999999999995E-3</v>
      </c>
      <c r="G232" s="214">
        <f>($D232*$E232)/($D$345+$D$369)</f>
        <v>5.3608376638113254E-5</v>
      </c>
    </row>
    <row r="233" spans="1:7">
      <c r="A233" s="211" t="str">
        <f>INDEX('INV500 '!$D$3:$D$402,MATCH(WebPosting!$B233,'INV500 '!$K$3:$K$402,0))</f>
        <v xml:space="preserve">FHLB NOTES                    </v>
      </c>
      <c r="B233" s="345">
        <v>15060210</v>
      </c>
      <c r="C233" s="247">
        <f>VLOOKUP(B233,'INV500 '!$K$3:$T$1990,10,FALSE)</f>
        <v>42975</v>
      </c>
      <c r="D233" s="295">
        <f>SUMPRODUCT('INV500 '!$V$3:$V$1990*((WebPosting!B233='INV500 '!$K$3:$K$1990)*1000)*('INV500 '!$O$3:$O$1990&lt;&gt;"M")*('INV500 '!$C$3:$C$1990=87))</f>
        <v>25000000</v>
      </c>
      <c r="E233" s="214">
        <f>VLOOKUP($B233,'INV500 '!$K$3:$U$1990,11,FALSE)/100</f>
        <v>7.4999999999999997E-3</v>
      </c>
      <c r="G233" s="214">
        <f>($D233*$E233)/($D$345+$D$369)</f>
        <v>5.6628566871246396E-5</v>
      </c>
    </row>
    <row r="234" spans="1:7">
      <c r="A234" s="211" t="str">
        <f>INDEX('INV500 '!$D$3:$D$402,MATCH(WebPosting!$B234,'INV500 '!$K$3:$K$402,0))</f>
        <v xml:space="preserve">FHLB NOTES                    </v>
      </c>
      <c r="B234" s="326">
        <v>16110217</v>
      </c>
      <c r="C234" s="247">
        <f>VLOOKUP(B234,'INV500 '!$K$3:$T$1990,10,FALSE)</f>
        <v>43034</v>
      </c>
      <c r="D234" s="295">
        <f>SUMPRODUCT('INV500 '!$V$3:$V$1990*((WebPosting!B234='INV500 '!$K$3:$K$1990)*1000)*('INV500 '!$O$3:$O$1990&lt;&gt;"M")*('INV500 '!$C$3:$C$1990=87))</f>
        <v>25000000</v>
      </c>
      <c r="E234" s="214">
        <f>VLOOKUP($B234,'INV500 '!$K$3:$U$1990,11,FALSE)/100</f>
        <v>6.2500000000000003E-3</v>
      </c>
      <c r="G234" s="214">
        <f>($D234*$E234)/($D$345+$D$369)</f>
        <v>4.719047239270533E-5</v>
      </c>
    </row>
    <row r="235" spans="1:7">
      <c r="A235" s="211" t="str">
        <f>INDEX('INV500 '!$D$3:$D$402,MATCH(WebPosting!$B235,'INV500 '!$K$3:$K$402,0))</f>
        <v xml:space="preserve">FHLB NOTES                    </v>
      </c>
      <c r="B235" s="305">
        <v>16052308</v>
      </c>
      <c r="C235" s="247">
        <f>VLOOKUP(B235,'INV500 '!$K$3:$T$1990,10,FALSE)</f>
        <v>43154</v>
      </c>
      <c r="D235" s="295">
        <f>SUMPRODUCT('INV500 '!$V$3:$V$1990*((WebPosting!B235='INV500 '!$K$3:$K$1990)*1000)*('INV500 '!$O$3:$O$1990&lt;&gt;"M")*('INV500 '!$C$3:$C$1990=87))</f>
        <v>25000000</v>
      </c>
      <c r="E235" s="214">
        <f>VLOOKUP($B235,'INV500 '!$K$3:$U$1990,11,FALSE)/100</f>
        <v>9.4999999999999998E-3</v>
      </c>
      <c r="G235" s="214">
        <f>($D235*$E235)/($D$345+$D$369)</f>
        <v>7.1729518036912104E-5</v>
      </c>
    </row>
    <row r="236" spans="1:7">
      <c r="A236" s="211" t="str">
        <f>INDEX('INV500 '!$D$3:$D$402,MATCH(WebPosting!$B236,'INV500 '!$K$3:$K$402,0))</f>
        <v xml:space="preserve">FHLB NOTES                    </v>
      </c>
      <c r="B236" s="316">
        <v>16060909</v>
      </c>
      <c r="C236" s="247">
        <f>VLOOKUP(B236,'INV500 '!$K$3:$T$1990,10,FALSE)</f>
        <v>43168</v>
      </c>
      <c r="D236" s="295">
        <f>SUMPRODUCT('INV500 '!$V$3:$V$1990*((WebPosting!B236='INV500 '!$K$3:$K$1990)*1000)*('INV500 '!$O$3:$O$1990&lt;&gt;"M")*('INV500 '!$C$3:$C$1990=87))</f>
        <v>25000000</v>
      </c>
      <c r="E236" s="214">
        <f>VLOOKUP($B236,'INV500 '!$K$3:$U$1990,11,FALSE)/100</f>
        <v>9.4999999999999998E-3</v>
      </c>
      <c r="G236" s="214">
        <f>($D236*$E236)/($D$345+$D$369)</f>
        <v>7.1729518036912104E-5</v>
      </c>
    </row>
    <row r="237" spans="1:7">
      <c r="A237" s="211" t="str">
        <f>INDEX('INV500 '!$D$3:$D$402,MATCH(WebPosting!$B237,'INV500 '!$K$3:$K$402,0))</f>
        <v xml:space="preserve">FHLB NOTES                    </v>
      </c>
      <c r="B237" s="344">
        <v>15030212</v>
      </c>
      <c r="C237" s="247">
        <f>VLOOKUP(B237,'INV500 '!$K$3:$T$1990,10,FALSE)</f>
        <v>43215</v>
      </c>
      <c r="D237" s="295">
        <f>SUMPRODUCT('INV500 '!$V$3:$V$1990*((WebPosting!B237='INV500 '!$K$3:$K$1990)*1000)*('INV500 '!$O$3:$O$1990&lt;&gt;"M")*('INV500 '!$C$3:$C$1990=87))</f>
        <v>15000000</v>
      </c>
      <c r="E237" s="214">
        <f>VLOOKUP($B237,'INV500 '!$K$3:$U$1990,11,FALSE)/100</f>
        <v>1.125E-2</v>
      </c>
      <c r="G237" s="214">
        <f>($D237*$E237)/($D$345+$D$369)</f>
        <v>5.096571018412176E-5</v>
      </c>
    </row>
    <row r="238" spans="1:7">
      <c r="A238" s="211" t="str">
        <f>INDEX('INV500 '!$D$3:$D$402,MATCH(WebPosting!$B238,'INV500 '!$K$3:$K$402,0))</f>
        <v xml:space="preserve">FHLB NOTES                    </v>
      </c>
      <c r="B238" s="326">
        <v>16110216</v>
      </c>
      <c r="C238" s="247">
        <f>VLOOKUP(B238,'INV500 '!$K$3:$T$1990,10,FALSE)</f>
        <v>43222</v>
      </c>
      <c r="D238" s="295">
        <f>SUMPRODUCT('INV500 '!$V$3:$V$1990*((WebPosting!B238='INV500 '!$K$3:$K$1990)*1000)*('INV500 '!$O$3:$O$1990&lt;&gt;"M")*('INV500 '!$C$3:$C$1990=87))</f>
        <v>25000000</v>
      </c>
      <c r="E238" s="214">
        <f>VLOOKUP($B238,'INV500 '!$K$3:$U$1990,11,FALSE)/100</f>
        <v>7.4999999999999997E-3</v>
      </c>
      <c r="G238" s="214">
        <f>($D238*$E238)/($D$345+$D$369)</f>
        <v>5.6628566871246396E-5</v>
      </c>
    </row>
    <row r="239" spans="1:7">
      <c r="A239" s="211" t="str">
        <f>INDEX('INV500 '!$D$3:$D$402,MATCH(WebPosting!$B239,'INV500 '!$K$3:$K$402,0))</f>
        <v xml:space="preserve">FHLB NOTES                    </v>
      </c>
      <c r="B239" s="320">
        <v>16120811</v>
      </c>
      <c r="C239" s="247">
        <f>VLOOKUP(B239,'INV500 '!$K$3:$T$1990,10,FALSE)</f>
        <v>43481</v>
      </c>
      <c r="D239" s="295">
        <f>SUMPRODUCT('INV500 '!$V$3:$V$1990*((WebPosting!B239='INV500 '!$K$3:$K$1990)*1000)*('INV500 '!$O$3:$O$1990&lt;&gt;"M")*('INV500 '!$C$3:$C$1990=87))</f>
        <v>25000000</v>
      </c>
      <c r="E239" s="214">
        <f>VLOOKUP($B239,'INV500 '!$K$3:$U$1990,11,FALSE)/100</f>
        <v>1.2500000000000001E-2</v>
      </c>
      <c r="G239" s="214">
        <f>($D239*$E239)/($D$345+$D$369)</f>
        <v>9.438094478541066E-5</v>
      </c>
    </row>
    <row r="240" spans="1:7">
      <c r="A240" s="211" t="str">
        <f>INDEX('INV500 '!$D$3:$D$402,MATCH(WebPosting!$B240,'INV500 '!$K$3:$K$402,0))</f>
        <v xml:space="preserve">FHLB NOTES                    </v>
      </c>
      <c r="B240" s="405">
        <v>17013005</v>
      </c>
      <c r="C240" s="247">
        <f>VLOOKUP(B240,'INV500 '!$K$3:$T$1990,10,FALSE)</f>
        <v>43495</v>
      </c>
      <c r="D240" s="295">
        <f>SUMPRODUCT('INV500 '!$V$3:$V$1990*((WebPosting!B240='INV500 '!$K$3:$K$1990)*1000)*('INV500 '!$O$3:$O$1990&lt;&gt;"M")*('INV500 '!$C$3:$C$1990=87))</f>
        <v>15000000</v>
      </c>
      <c r="E240" s="214">
        <f>VLOOKUP($B240,'INV500 '!$K$3:$U$1990,11,FALSE)/100</f>
        <v>1.29E-2</v>
      </c>
      <c r="G240" s="214">
        <f>($D240*$E240)/($D$345+$D$369)</f>
        <v>5.8440681011126285E-5</v>
      </c>
    </row>
    <row r="241" spans="1:7">
      <c r="A241" s="211" t="str">
        <f>INDEX('INV500 '!$D$3:$D$402,MATCH(WebPosting!$B241,'INV500 '!$K$3:$K$402,0))</f>
        <v xml:space="preserve">FHLB NOTES                    </v>
      </c>
      <c r="B241" s="413">
        <v>17032911</v>
      </c>
      <c r="C241" s="247">
        <f>VLOOKUP(B241,'INV500 '!$K$3:$T$1990,10,FALSE)</f>
        <v>43553</v>
      </c>
      <c r="D241" s="295">
        <f>SUMPRODUCT('INV500 '!$V$3:$V$1990*((WebPosting!B241='INV500 '!$K$3:$K$1990)*1000)*('INV500 '!$O$3:$O$1990&lt;&gt;"M")*('INV500 '!$C$3:$C$1990=87))</f>
        <v>25000000</v>
      </c>
      <c r="E241" s="214">
        <f>VLOOKUP($B241,'INV500 '!$K$3:$U$1990,11,FALSE)/100</f>
        <v>1.44E-2</v>
      </c>
      <c r="G241" s="214">
        <f>($D241*$E241)/($D$345+$D$369)</f>
        <v>1.0872684839279309E-4</v>
      </c>
    </row>
    <row r="242" spans="1:7">
      <c r="A242" s="211" t="str">
        <f>INDEX('INV500 '!$D$3:$D$402,MATCH(WebPosting!$B242,'INV500 '!$K$3:$K$402,0))</f>
        <v xml:space="preserve">FHLB NOTES                    </v>
      </c>
      <c r="B242" s="304">
        <v>16111809</v>
      </c>
      <c r="C242" s="247">
        <f>VLOOKUP(B242,'INV500 '!$K$3:$T$1990,10,FALSE)</f>
        <v>43682</v>
      </c>
      <c r="D242" s="295">
        <f>SUMPRODUCT('INV500 '!$V$3:$V$1990*((WebPosting!B242='INV500 '!$K$3:$K$1990)*1000)*('INV500 '!$O$3:$O$1990&lt;&gt;"M")*('INV500 '!$C$3:$C$1990=87))</f>
        <v>25000000</v>
      </c>
      <c r="E242" s="214">
        <f>VLOOKUP($B242,'INV500 '!$K$3:$U$1990,11,FALSE)/100</f>
        <v>8.7500000000000008E-3</v>
      </c>
      <c r="G242" s="214">
        <f>($D242*$E242)/($D$345+$D$369)</f>
        <v>6.6066661349787476E-5</v>
      </c>
    </row>
    <row r="243" spans="1:7">
      <c r="A243" s="211" t="str">
        <f>INDEX('INV500 '!$D$3:$D$402,MATCH(WebPosting!$B243,'INV500 '!$K$3:$K$402,0))</f>
        <v xml:space="preserve">FHLB NOTES                    </v>
      </c>
      <c r="B243" s="281">
        <v>16090914</v>
      </c>
      <c r="C243" s="247">
        <f>VLOOKUP(B243,'INV500 '!$K$3:$T$1990,10,FALSE)</f>
        <v>43734</v>
      </c>
      <c r="D243" s="295">
        <f>SUMPRODUCT('INV500 '!$V$3:$V$1990*((WebPosting!B243='INV500 '!$K$3:$K$1990)*1000)*('INV500 '!$O$3:$O$1990&lt;&gt;"M")*('INV500 '!$C$3:$C$1990=87))</f>
        <v>15000000</v>
      </c>
      <c r="E243" s="214">
        <f>VLOOKUP($B243,'INV500 '!$K$3:$U$1990,11,FALSE)/100</f>
        <v>0.01</v>
      </c>
      <c r="G243" s="214">
        <f>($D243*$E243)/($D$345+$D$369)</f>
        <v>4.5302853496997118E-5</v>
      </c>
    </row>
    <row r="244" spans="1:7">
      <c r="A244" s="211" t="str">
        <f>INDEX('INV500 '!$D$3:$D$402,MATCH(WebPosting!$B244,'INV500 '!$K$3:$K$402,0))</f>
        <v xml:space="preserve">FHLB NOTES                    </v>
      </c>
      <c r="B244" s="310">
        <v>16081008</v>
      </c>
      <c r="C244" s="247">
        <f>VLOOKUP(B244,'INV500 '!$K$3:$T$1990,10,FALSE)</f>
        <v>44053</v>
      </c>
      <c r="D244" s="295">
        <f>SUMPRODUCT('INV500 '!$V$3:$V$1990*((WebPosting!B244='INV500 '!$K$3:$K$1990)*1000)*('INV500 '!$O$3:$O$1990&lt;&gt;"M")*('INV500 '!$C$3:$C$1990=87))</f>
        <v>25000000</v>
      </c>
      <c r="E244" s="214">
        <f>VLOOKUP($B244,'INV500 '!$K$3:$U$1990,11,FALSE)/100</f>
        <v>1.0500000000000001E-2</v>
      </c>
      <c r="G244" s="214">
        <f>($D244*$E244)/($D$345+$D$369)</f>
        <v>7.9279993619744952E-5</v>
      </c>
    </row>
    <row r="245" spans="1:7" hidden="1">
      <c r="A245" s="211" t="e">
        <f>INDEX('INV500 '!$D$3:$D$402,MATCH(WebPosting!$B245,'INV500 '!$K$3:$K$402,0))</f>
        <v>#N/A</v>
      </c>
      <c r="B245" s="304">
        <v>16111715</v>
      </c>
      <c r="C245" s="247" t="e">
        <f>VLOOKUP(B245,'INV500 '!$K$3:$T$1990,10,FALSE)</f>
        <v>#N/A</v>
      </c>
      <c r="D245" s="295">
        <f>SUMPRODUCT('INV500 '!$V$3:$V$1990*((WebPosting!B245='INV500 '!$K$3:$K$1990)*1000)*('INV500 '!$O$3:$O$1990&lt;&gt;"M")*('INV500 '!$C$3:$C$1990=67))</f>
        <v>0</v>
      </c>
      <c r="E245" s="214" t="e">
        <f>VLOOKUP($B245,'INV500 '!$K$3:$U$1990,11,FALSE)/100</f>
        <v>#N/A</v>
      </c>
      <c r="G245" s="214" t="e">
        <f>($D245*$E245)/($D$345+$D$369)</f>
        <v>#N/A</v>
      </c>
    </row>
    <row r="246" spans="1:7" hidden="1">
      <c r="A246" s="211" t="e">
        <f>INDEX('INV500 '!$D$3:$D$402,MATCH(WebPosting!$B246,'INV500 '!$K$3:$K$402,0))</f>
        <v>#N/A</v>
      </c>
      <c r="B246" s="304">
        <v>16111817</v>
      </c>
      <c r="C246" s="247" t="e">
        <f>VLOOKUP(B246,'INV500 '!$K$3:$T$1990,10,FALSE)</f>
        <v>#N/A</v>
      </c>
      <c r="D246" s="295">
        <f>SUMPRODUCT('INV500 '!$V$3:$V$1990*((WebPosting!B246='INV500 '!$K$3:$K$1990)*1000)*('INV500 '!$O$3:$O$1990&lt;&gt;"M")*('INV500 '!$C$3:$C$1990=67))</f>
        <v>0</v>
      </c>
      <c r="E246" s="214" t="e">
        <f>VLOOKUP($B246,'INV500 '!$K$3:$U$1990,11,FALSE)/100</f>
        <v>#N/A</v>
      </c>
      <c r="G246" s="214" t="e">
        <f>($D246*$E246)/($D$345+$D$369)</f>
        <v>#N/A</v>
      </c>
    </row>
    <row r="247" spans="1:7">
      <c r="A247" s="211" t="str">
        <f>INDEX('INV500 '!$D$3:$D$402,MATCH(WebPosting!$B247,'INV500 '!$K$3:$K$402,0))</f>
        <v xml:space="preserve">FNMA NOTES                    </v>
      </c>
      <c r="B247" s="228">
        <v>13052813</v>
      </c>
      <c r="C247" s="247">
        <f>VLOOKUP(B247,'INV500 '!$K$3:$T$1990,10,FALSE)</f>
        <v>42975</v>
      </c>
      <c r="D247" s="295">
        <f>SUMPRODUCT('INV500 '!$V$3:$V$1990*((WebPosting!B247='INV500 '!$K$3:$K$1990)*1000)*('INV500 '!$O$3:$O$1990&lt;&gt;"M")*('INV500 '!$C$3:$C$1990=84))</f>
        <v>25000000</v>
      </c>
      <c r="E247" s="214">
        <f>VLOOKUP($B247,'INV500 '!$K$3:$U$1990,11,FALSE)/100</f>
        <v>7.4999999999999997E-3</v>
      </c>
      <c r="G247" s="214">
        <f>($D247*$E247)/($D$345+$D$369)</f>
        <v>5.6628566871246396E-5</v>
      </c>
    </row>
    <row r="248" spans="1:7">
      <c r="A248" s="211" t="str">
        <f>INDEX('INV500 '!$D$3:$D$402,MATCH(WebPosting!$B248,'INV500 '!$K$3:$K$402,0))</f>
        <v xml:space="preserve">FNMA NOTES                    </v>
      </c>
      <c r="B248" s="228">
        <v>13060310</v>
      </c>
      <c r="C248" s="247">
        <f>VLOOKUP(B248,'INV500 '!$K$3:$T$1990,10,FALSE)</f>
        <v>43220</v>
      </c>
      <c r="D248" s="295">
        <f>SUMPRODUCT('INV500 '!$V$3:$V$1990*((WebPosting!B248='INV500 '!$K$3:$K$1990)*1000)*('INV500 '!$O$3:$O$1990&lt;&gt;"M")*('INV500 '!$C$3:$C$1990=84))</f>
        <v>25000000</v>
      </c>
      <c r="E248" s="214">
        <f>VLOOKUP($B248,'INV500 '!$K$3:$U$1990,11,FALSE)/100</f>
        <v>0.01</v>
      </c>
      <c r="G248" s="214">
        <f>($D248*$E248)/($D$345+$D$369)</f>
        <v>7.5504755828328528E-5</v>
      </c>
    </row>
    <row r="249" spans="1:7">
      <c r="A249" s="211" t="str">
        <f>INDEX('INV500 '!$D$3:$D$402,MATCH(WebPosting!$B249,'INV500 '!$K$3:$K$402,0))</f>
        <v xml:space="preserve">FNMA NOTES                    </v>
      </c>
      <c r="B249" s="228">
        <v>13060311</v>
      </c>
      <c r="C249" s="247">
        <f>VLOOKUP(B249,'INV500 '!$K$3:$T$1990,10,FALSE)</f>
        <v>43241</v>
      </c>
      <c r="D249" s="295">
        <f>SUMPRODUCT('INV500 '!$V$3:$V$1990*((WebPosting!B249='INV500 '!$K$3:$K$1990)*1000)*('INV500 '!$O$3:$O$1990&lt;&gt;"M")*('INV500 '!$C$3:$C$1990=84))</f>
        <v>25000000</v>
      </c>
      <c r="E249" s="214">
        <f>VLOOKUP($B249,'INV500 '!$K$3:$U$1990,11,FALSE)/100</f>
        <v>0.01</v>
      </c>
      <c r="G249" s="214">
        <f>($D249*$E249)/($D$345+$D$369)</f>
        <v>7.5504755828328528E-5</v>
      </c>
    </row>
    <row r="250" spans="1:7">
      <c r="A250" s="211" t="str">
        <f>INDEX('INV500 '!$D$3:$D$402,MATCH(WebPosting!$B250,'INV500 '!$K$3:$K$402,0))</f>
        <v xml:space="preserve">FNMA NOTES                    </v>
      </c>
      <c r="B250" s="343">
        <v>13052119</v>
      </c>
      <c r="C250" s="247">
        <f>VLOOKUP(B250,'INV500 '!$K$3:$T$1990,10,FALSE)</f>
        <v>43241</v>
      </c>
      <c r="D250" s="295">
        <f>SUMPRODUCT('INV500 '!$V$3:$V$1990*((WebPosting!B250='INV500 '!$K$3:$K$1990)*1000)*('INV500 '!$O$3:$O$1990&lt;&gt;"M")*('INV500 '!$C$3:$C$1990=84))</f>
        <v>25000000</v>
      </c>
      <c r="E250" s="214">
        <f>VLOOKUP($B250,'INV500 '!$K$3:$U$1990,11,FALSE)/100</f>
        <v>1.03E-2</v>
      </c>
      <c r="G250" s="214">
        <f>($D250*$E250)/($D$345+$D$369)</f>
        <v>7.7769898503178388E-5</v>
      </c>
    </row>
    <row r="251" spans="1:7">
      <c r="A251" s="211" t="str">
        <f>INDEX('INV500 '!$D$3:$D$402,MATCH(WebPosting!$B251,'INV500 '!$K$3:$K$402,0))</f>
        <v xml:space="preserve">FNMA NOTES                    </v>
      </c>
      <c r="B251" s="228">
        <v>13092013</v>
      </c>
      <c r="C251" s="247">
        <f>VLOOKUP(B251,'INV500 '!$K$3:$T$1990,10,FALSE)</f>
        <v>43241</v>
      </c>
      <c r="D251" s="295">
        <f>SUMPRODUCT('INV500 '!$V$3:$V$1990*((WebPosting!B251='INV500 '!$K$3:$K$1990)*1000)*('INV500 '!$O$3:$O$1990&lt;&gt;"M")*('INV500 '!$C$3:$C$1990=84))</f>
        <v>25000000</v>
      </c>
      <c r="E251" s="214">
        <f>VLOOKUP($B251,'INV500 '!$K$3:$U$1990,11,FALSE)/100</f>
        <v>0.01</v>
      </c>
      <c r="G251" s="214">
        <f>($D251*$E251)/($D$345+$D$369)</f>
        <v>7.5504755828328528E-5</v>
      </c>
    </row>
    <row r="252" spans="1:7">
      <c r="A252" s="211" t="str">
        <f>INDEX('INV500 '!$D$3:$D$402,MATCH(WebPosting!$B252,'INV500 '!$K$3:$K$402,0))</f>
        <v xml:space="preserve">FNMA NOTES                    </v>
      </c>
      <c r="B252" s="297">
        <v>16081615</v>
      </c>
      <c r="C252" s="247">
        <f>VLOOKUP(B252,'INV500 '!$K$3:$T$1990,10,FALSE)</f>
        <v>43693</v>
      </c>
      <c r="D252" s="295">
        <f>SUMPRODUCT('INV500 '!$V$3:$V$1990*((WebPosting!B252='INV500 '!$K$3:$K$1990)*1000)*('INV500 '!$O$3:$O$1990&lt;&gt;"M")*('INV500 '!$C$3:$C$1990=84))</f>
        <v>25000000</v>
      </c>
      <c r="E252" s="214">
        <f>VLOOKUP($B252,'INV500 '!$K$3:$U$1990,11,FALSE)/100</f>
        <v>1.2E-2</v>
      </c>
      <c r="G252" s="214">
        <f>($D252*$E252)/($D$345+$D$369)</f>
        <v>9.0605706993994236E-5</v>
      </c>
    </row>
    <row r="253" spans="1:7">
      <c r="A253" s="211" t="str">
        <f>INDEX('INV500 '!$D$3:$D$402,MATCH(WebPosting!$B253,'INV500 '!$K$3:$K$402,0))</f>
        <v xml:space="preserve">FNMA NOTES                    </v>
      </c>
      <c r="B253" s="325">
        <v>16083013</v>
      </c>
      <c r="C253" s="247">
        <f>VLOOKUP(B253,'INV500 '!$K$3:$T$1990,10,FALSE)</f>
        <v>43705</v>
      </c>
      <c r="D253" s="295">
        <f>SUMPRODUCT('INV500 '!$V$3:$V$1990*((WebPosting!B253='INV500 '!$K$3:$K$1990)*1000)*('INV500 '!$O$3:$O$1990&lt;&gt;"M")*('INV500 '!$C$3:$C$1990=84))</f>
        <v>25000000</v>
      </c>
      <c r="E253" s="214">
        <f>VLOOKUP($B253,'INV500 '!$K$3:$U$1990,11,FALSE)/100</f>
        <v>1.15E-2</v>
      </c>
      <c r="G253" s="214">
        <f>($D253*$E253)/($D$345+$D$369)</f>
        <v>8.6830469202577813E-5</v>
      </c>
    </row>
    <row r="254" spans="1:7">
      <c r="A254" s="211" t="str">
        <f>INDEX('INV500 '!$D$3:$D$402,MATCH(WebPosting!$B254,'INV500 '!$K$3:$K$402,0))</f>
        <v xml:space="preserve">FNMA NOTES                    </v>
      </c>
      <c r="B254" s="336">
        <v>16092710</v>
      </c>
      <c r="C254" s="247">
        <f>VLOOKUP(B254,'INV500 '!$K$3:$T$1990,10,FALSE)</f>
        <v>43714</v>
      </c>
      <c r="D254" s="295">
        <f>SUMPRODUCT('INV500 '!$V$3:$V$1990*((WebPosting!B254='INV500 '!$K$3:$K$1990)*1000)*('INV500 '!$O$3:$O$1990&lt;&gt;"M")*('INV500 '!$C$3:$C$1990=84))</f>
        <v>25000000</v>
      </c>
      <c r="E254" s="214">
        <f>VLOOKUP($B254,'INV500 '!$K$3:$U$1990,11,FALSE)/100</f>
        <v>1.125E-2</v>
      </c>
      <c r="G254" s="214">
        <f>($D254*$E254)/($D$345+$D$369)</f>
        <v>8.4942850306869594E-5</v>
      </c>
    </row>
    <row r="255" spans="1:7">
      <c r="A255" s="211" t="str">
        <f>INDEX('INV500 '!$D$3:$D$402,MATCH(WebPosting!$B255,'INV500 '!$K$3:$K$402,0))</f>
        <v xml:space="preserve">FNMA NOTES                    </v>
      </c>
      <c r="B255" s="336">
        <v>16093013</v>
      </c>
      <c r="C255" s="247">
        <f>VLOOKUP(B255,'INV500 '!$K$3:$T$1990,10,FALSE)</f>
        <v>43738</v>
      </c>
      <c r="D255" s="295">
        <f>SUMPRODUCT('INV500 '!$V$3:$V$1990*((WebPosting!B255='INV500 '!$K$3:$K$1990)*1000)*('INV500 '!$O$3:$O$1990&lt;&gt;"M")*('INV500 '!$C$3:$C$1990=84))</f>
        <v>30000000</v>
      </c>
      <c r="E255" s="214">
        <f>VLOOKUP($B255,'INV500 '!$K$3:$U$1990,11,FALSE)/100</f>
        <v>1.3000000000000001E-2</v>
      </c>
      <c r="G255" s="214">
        <f>($D255*$E255)/($D$345+$D$369)</f>
        <v>1.1778741909219252E-4</v>
      </c>
    </row>
    <row r="256" spans="1:7">
      <c r="A256" s="211" t="str">
        <f>INDEX('INV500 '!$D$3:$D$402,MATCH(WebPosting!$B256,'INV500 '!$K$3:$K$402,0))</f>
        <v xml:space="preserve">FNMA NOTES                    </v>
      </c>
      <c r="B256" s="336">
        <v>16092720</v>
      </c>
      <c r="C256" s="247">
        <f>VLOOKUP(B256,'INV500 '!$K$3:$T$1990,10,FALSE)</f>
        <v>43826</v>
      </c>
      <c r="D256" s="295">
        <f>SUMPRODUCT('INV500 '!$V$3:$V$1990*((WebPosting!B256='INV500 '!$K$3:$K$1990)*1000)*('INV500 '!$O$3:$O$1990&lt;&gt;"M")*('INV500 '!$C$3:$C$1990=84))</f>
        <v>25000000</v>
      </c>
      <c r="E256" s="214">
        <f>VLOOKUP($B256,'INV500 '!$K$3:$U$1990,11,FALSE)/100</f>
        <v>1.2500000000000001E-2</v>
      </c>
      <c r="G256" s="214">
        <f>($D256*$E256)/($D$345+$D$369)</f>
        <v>9.438094478541066E-5</v>
      </c>
    </row>
    <row r="257" spans="1:7">
      <c r="A257" s="211" t="str">
        <f>INDEX('INV500 '!$D$3:$D$402,MATCH(WebPosting!$B257,'INV500 '!$K$3:$K$402,0))</f>
        <v xml:space="preserve">FNMA NOTES                    </v>
      </c>
      <c r="B257" s="409">
        <v>17022814</v>
      </c>
      <c r="C257" s="247">
        <f>VLOOKUP(B257,'INV500 '!$K$3:$T$1990,10,FALSE)</f>
        <v>43889</v>
      </c>
      <c r="D257" s="295">
        <f>SUMPRODUCT('INV500 '!$V$3:$V$1990*((WebPosting!B257='INV500 '!$K$3:$K$1990)*1000)*('INV500 '!$O$3:$O$1990&lt;&gt;"M")*('INV500 '!$C$3:$C$1990=84))</f>
        <v>25000000</v>
      </c>
      <c r="E257" s="214">
        <f>VLOOKUP($B257,'INV500 '!$K$3:$U$1990,11,FALSE)/100</f>
        <v>1.4999999999999999E-2</v>
      </c>
      <c r="G257" s="214">
        <f>($D257*$E257)/($D$345+$D$369)</f>
        <v>1.1325713374249279E-4</v>
      </c>
    </row>
    <row r="258" spans="1:7">
      <c r="A258" s="211" t="str">
        <f>INDEX('INV500 '!$D$3:$D$402,MATCH(WebPosting!$B258,'INV500 '!$K$3:$K$402,0))</f>
        <v xml:space="preserve">FNMA NOTES                    </v>
      </c>
      <c r="B258" s="336">
        <v>16092709</v>
      </c>
      <c r="C258" s="247">
        <f>VLOOKUP(B258,'INV500 '!$K$3:$T$1990,10,FALSE)</f>
        <v>43917</v>
      </c>
      <c r="D258" s="295">
        <f>SUMPRODUCT('INV500 '!$V$3:$V$1990*((WebPosting!B258='INV500 '!$K$3:$K$1990)*1000)*('INV500 '!$O$3:$O$1990&lt;&gt;"M")*('INV500 '!$C$3:$C$1990=84))</f>
        <v>25000000</v>
      </c>
      <c r="E258" s="214">
        <f>VLOOKUP($B258,'INV500 '!$K$3:$U$1990,11,FALSE)/100</f>
        <v>1.37E-2</v>
      </c>
      <c r="G258" s="214">
        <f>($D258*$E258)/($D$345+$D$369)</f>
        <v>1.0344151548481008E-4</v>
      </c>
    </row>
    <row r="259" spans="1:7">
      <c r="A259" s="211" t="str">
        <f>INDEX('INV500 '!$D$3:$D$402,MATCH(WebPosting!$B259,'INV500 '!$K$3:$K$402,0))</f>
        <v xml:space="preserve">FNMA NOTES                    </v>
      </c>
      <c r="B259" s="413">
        <v>17032707</v>
      </c>
      <c r="C259" s="247">
        <f>VLOOKUP(B259,'INV500 '!$K$3:$T$1990,10,FALSE)</f>
        <v>43917</v>
      </c>
      <c r="D259" s="295">
        <f>SUMPRODUCT('INV500 '!$V$3:$V$1990*((WebPosting!B259='INV500 '!$K$3:$K$1990)*1000)*('INV500 '!$O$3:$O$1990&lt;&gt;"M")*('INV500 '!$C$3:$C$1990=84))</f>
        <v>25000000</v>
      </c>
      <c r="E259" s="214">
        <f>VLOOKUP($B259,'INV500 '!$K$3:$U$1990,11,FALSE)/100</f>
        <v>1.8500000000000003E-2</v>
      </c>
      <c r="G259" s="214">
        <f>($D259*$E259)/($D$345+$D$369)</f>
        <v>1.396837982824078E-4</v>
      </c>
    </row>
    <row r="260" spans="1:7">
      <c r="A260" s="211" t="str">
        <f>INDEX('INV500 '!$D$3:$D$402,MATCH(WebPosting!$B260,'INV500 '!$K$3:$K$402,0))</f>
        <v xml:space="preserve">FNMA NOTES                    </v>
      </c>
      <c r="B260" s="416">
        <v>17033015</v>
      </c>
      <c r="C260" s="247">
        <f>VLOOKUP(B260,'INV500 '!$K$3:$T$1990,10,FALSE)</f>
        <v>44104</v>
      </c>
      <c r="D260" s="295">
        <f>SUMPRODUCT('INV500 '!$V$3:$V$1990*((WebPosting!B260='INV500 '!$K$3:$K$1990)*1000)*('INV500 '!$O$3:$O$1990&lt;&gt;"M")*('INV500 '!$C$3:$C$1990=84))</f>
        <v>25000000</v>
      </c>
      <c r="E260" s="214">
        <f>VLOOKUP($B260,'INV500 '!$K$3:$U$1990,11,FALSE)/100</f>
        <v>1.4999999999999999E-2</v>
      </c>
      <c r="G260" s="214">
        <f>($D260*$E260)/($D$345+$D$369)</f>
        <v>1.1325713374249279E-4</v>
      </c>
    </row>
    <row r="261" spans="1:7">
      <c r="A261" s="211" t="str">
        <f>INDEX('INV500 '!$D$3:$D$402,MATCH(WebPosting!$B261,'INV500 '!$K$3:$K$402,0))</f>
        <v xml:space="preserve">FNMA NOTES                    </v>
      </c>
      <c r="B261" s="254">
        <v>16072710</v>
      </c>
      <c r="C261" s="247">
        <f>VLOOKUP(B261,'INV500 '!$K$3:$T$1990,10,FALSE)</f>
        <v>44404</v>
      </c>
      <c r="D261" s="295">
        <f>SUMPRODUCT('INV500 '!$V$3:$V$1990*((WebPosting!B261='INV500 '!$K$3:$K$1990)*1000)*('INV500 '!$O$3:$O$1990&lt;&gt;"M")*('INV500 '!$C$3:$C$1990=84))</f>
        <v>10000000</v>
      </c>
      <c r="E261" s="214">
        <f>VLOOKUP($B261,'INV500 '!$K$3:$U$1990,11,FALSE)/100</f>
        <v>1.125E-2</v>
      </c>
      <c r="G261" s="214">
        <f>($D261*$E261)/($D$345+$D$369)</f>
        <v>3.397714012274784E-5</v>
      </c>
    </row>
    <row r="262" spans="1:7">
      <c r="A262" s="211" t="str">
        <f>INDEX('INV500 '!$D$3:$D$402,MATCH(WebPosting!$B262,'INV500 '!$K$3:$K$402,0))</f>
        <v xml:space="preserve">FNMA NOTES                    </v>
      </c>
      <c r="B262" s="254">
        <v>16072711</v>
      </c>
      <c r="C262" s="247">
        <f>VLOOKUP(B262,'INV500 '!$K$3:$T$1990,10,FALSE)</f>
        <v>44404</v>
      </c>
      <c r="D262" s="295">
        <f>SUMPRODUCT('INV500 '!$V$3:$V$1990*((WebPosting!B262='INV500 '!$K$3:$K$1990)*1000)*('INV500 '!$O$3:$O$1990&lt;&gt;"M")*('INV500 '!$C$3:$C$1990=84))</f>
        <v>15000000</v>
      </c>
      <c r="E262" s="214">
        <f>VLOOKUP($B262,'INV500 '!$K$3:$U$1990,11,FALSE)/100</f>
        <v>1.125E-2</v>
      </c>
      <c r="G262" s="214">
        <f>($D262*$E262)/($D$345+$D$369)</f>
        <v>5.096571018412176E-5</v>
      </c>
    </row>
    <row r="263" spans="1:7">
      <c r="A263" s="211" t="str">
        <f>INDEX('INV500 '!$D$3:$D$402,MATCH(WebPosting!$B263,'INV500 '!$K$3:$K$402,0))</f>
        <v xml:space="preserve">FNMA NOTES                    </v>
      </c>
      <c r="B263" s="297">
        <v>16081701</v>
      </c>
      <c r="C263" s="247">
        <f>VLOOKUP(B263,'INV500 '!$K$3:$T$1990,10,FALSE)</f>
        <v>44425</v>
      </c>
      <c r="D263" s="295">
        <f>SUMPRODUCT('INV500 '!$V$3:$V$1990*((WebPosting!B263='INV500 '!$K$3:$K$1990)*1000)*('INV500 '!$O$3:$O$1990&lt;&gt;"M")*('INV500 '!$C$3:$C$1990=84))</f>
        <v>25000000</v>
      </c>
      <c r="E263" s="214">
        <f>VLOOKUP($B263,'INV500 '!$K$3:$U$1990,11,FALSE)/100</f>
        <v>1.55E-2</v>
      </c>
      <c r="G263" s="214">
        <f>($D263*$E263)/($D$345+$D$369)</f>
        <v>1.1703237153390922E-4</v>
      </c>
    </row>
    <row r="264" spans="1:7">
      <c r="A264" s="211" t="str">
        <f>INDEX('INV500 '!$D$3:$D$402,MATCH(WebPosting!$B264,'INV500 '!$K$3:$K$402,0))</f>
        <v xml:space="preserve">FHLMC NOTES                   </v>
      </c>
      <c r="B264" s="342">
        <v>15120320</v>
      </c>
      <c r="C264" s="247">
        <f>VLOOKUP(B264,'INV500 '!$K$3:$T$1990,10,FALSE)</f>
        <v>42863</v>
      </c>
      <c r="D264" s="295">
        <f>SUMPRODUCT('INV500 '!$V$3:$V$1990*((WebPosting!B264='INV500 '!$K$3:$K$1990)*1000)*('INV500 '!$O$3:$O$1990&lt;&gt;"M")*('INV500 '!$C$3:$C$1990=85))</f>
        <v>20000000</v>
      </c>
      <c r="E264" s="214">
        <f>VLOOKUP($B264,'INV500 '!$K$3:$U$1990,11,FALSE)/100</f>
        <v>6.9999999999999993E-3</v>
      </c>
      <c r="G264" s="214">
        <f>($D264*$E264)/($D$345+$D$369)</f>
        <v>4.2282663263863976E-5</v>
      </c>
    </row>
    <row r="265" spans="1:7">
      <c r="A265" s="211" t="str">
        <f>INDEX('INV500 '!$D$3:$D$402,MATCH(WebPosting!$B265,'INV500 '!$K$3:$K$402,0))</f>
        <v xml:space="preserve">FHLMC NOTES                   </v>
      </c>
      <c r="B265" s="314">
        <v>15052912</v>
      </c>
      <c r="C265" s="247">
        <f>VLOOKUP(B265,'INV500 '!$K$3:$T$1990,10,FALSE)</f>
        <v>42930</v>
      </c>
      <c r="D265" s="295">
        <f>SUMPRODUCT('INV500 '!$V$3:$V$1990*((WebPosting!B265='INV500 '!$K$3:$K$1990)*1000)*('INV500 '!$O$3:$O$1990&lt;&gt;"M")*('INV500 '!$C$3:$C$1990=85))</f>
        <v>25000000</v>
      </c>
      <c r="E265" s="214">
        <f>VLOOKUP($B265,'INV500 '!$K$3:$U$1990,11,FALSE)/100</f>
        <v>7.4999999999999997E-3</v>
      </c>
      <c r="G265" s="214">
        <f>($D265*$E265)/($D$345+$D$369)</f>
        <v>5.6628566871246396E-5</v>
      </c>
    </row>
    <row r="266" spans="1:7">
      <c r="A266" s="211" t="str">
        <f>INDEX('INV500 '!$D$3:$D$402,MATCH(WebPosting!$B266,'INV500 '!$K$3:$K$402,0))</f>
        <v xml:space="preserve">FHLMC NOTES                   </v>
      </c>
      <c r="B266" s="228">
        <v>12081506</v>
      </c>
      <c r="C266" s="247">
        <f>VLOOKUP(B266,'INV500 '!$K$3:$T$1990,10,FALSE)</f>
        <v>42962</v>
      </c>
      <c r="D266" s="295">
        <f>SUMPRODUCT('INV500 '!$V$3:$V$1990*((WebPosting!B266='INV500 '!$K$3:$K$1990)*1000)*('INV500 '!$O$3:$O$1990&lt;&gt;"M")*('INV500 '!$C$3:$C$1990=85))</f>
        <v>25000000</v>
      </c>
      <c r="E266" s="214">
        <f>VLOOKUP($B266,'INV500 '!$K$3:$U$1990,11,FALSE)/100</f>
        <v>8.7500000000000008E-3</v>
      </c>
      <c r="G266" s="214">
        <f>($D266*$E266)/($D$345+$D$369)</f>
        <v>6.6066661349787476E-5</v>
      </c>
    </row>
    <row r="267" spans="1:7">
      <c r="A267" s="211" t="str">
        <f>INDEX('INV500 '!$D$3:$D$402,MATCH(WebPosting!$B267,'INV500 '!$K$3:$K$402,0))</f>
        <v xml:space="preserve">FHLMC NOTES                   </v>
      </c>
      <c r="B267" s="228">
        <v>12081507</v>
      </c>
      <c r="C267" s="247">
        <f>VLOOKUP(B267,'INV500 '!$K$3:$T$1990,10,FALSE)</f>
        <v>42962</v>
      </c>
      <c r="D267" s="295">
        <f>SUMPRODUCT('INV500 '!$V$3:$V$1990*((WebPosting!B267='INV500 '!$K$3:$K$1990)*1000)*('INV500 '!$O$3:$O$1990&lt;&gt;"M")*('INV500 '!$C$3:$C$1990=85))</f>
        <v>25000000</v>
      </c>
      <c r="E267" s="214">
        <f>VLOOKUP($B267,'INV500 '!$K$3:$U$1990,11,FALSE)/100</f>
        <v>8.7500000000000008E-3</v>
      </c>
      <c r="G267" s="214">
        <f>($D267*$E267)/($D$345+$D$369)</f>
        <v>6.6066661349787476E-5</v>
      </c>
    </row>
    <row r="268" spans="1:7">
      <c r="A268" s="211" t="str">
        <f>INDEX('INV500 '!$D$3:$D$402,MATCH(WebPosting!$B268,'INV500 '!$K$3:$K$402,0))</f>
        <v xml:space="preserve">FHLMC NOTES                   </v>
      </c>
      <c r="B268" s="341">
        <v>16060113</v>
      </c>
      <c r="C268" s="247">
        <f>VLOOKUP(B268,'INV500 '!$K$3:$T$1990,10,FALSE)</f>
        <v>42930</v>
      </c>
      <c r="D268" s="295">
        <f>SUMPRODUCT('INV500 '!$V$3:$V$1990*((WebPosting!B268='INV500 '!$K$3:$K$1990)*1000)*('INV500 '!$O$3:$O$1990&lt;&gt;"M")*('INV500 '!$C$3:$C$1990=85))</f>
        <v>25000000</v>
      </c>
      <c r="E268" s="214">
        <f>VLOOKUP($B268,'INV500 '!$K$3:$U$1990,11,FALSE)/100</f>
        <v>7.4999999999999997E-3</v>
      </c>
      <c r="G268" s="214">
        <f>($D268*$E268)/($D$345+$D$369)</f>
        <v>5.6628566871246396E-5</v>
      </c>
    </row>
    <row r="269" spans="1:7">
      <c r="A269" s="211" t="str">
        <f>INDEX('INV500 '!$D$3:$D$402,MATCH(WebPosting!$B269,'INV500 '!$K$3:$K$402,0))</f>
        <v xml:space="preserve">FHLMC NOTES                   </v>
      </c>
      <c r="B269" s="228">
        <v>13052815</v>
      </c>
      <c r="C269" s="247">
        <f>VLOOKUP(B269,'INV500 '!$K$3:$T$1990,10,FALSE)</f>
        <v>43067</v>
      </c>
      <c r="D269" s="295">
        <f>SUMPRODUCT('INV500 '!$V$3:$V$1990*((WebPosting!B269='INV500 '!$K$3:$K$1990)*1000)*('INV500 '!$O$3:$O$1990&lt;&gt;"M")*('INV500 '!$C$3:$C$1990=85))</f>
        <v>25000000</v>
      </c>
      <c r="E269" s="214">
        <f>VLOOKUP($B269,'INV500 '!$K$3:$U$1990,11,FALSE)/100</f>
        <v>7.4999999999999997E-3</v>
      </c>
      <c r="G269" s="214">
        <f>($D269*$E269)/($D$345+$D$369)</f>
        <v>5.6628566871246396E-5</v>
      </c>
    </row>
    <row r="270" spans="1:7">
      <c r="A270" s="211" t="str">
        <f>INDEX('INV500 '!$D$3:$D$402,MATCH(WebPosting!$B270,'INV500 '!$K$3:$K$402,0))</f>
        <v xml:space="preserve">FHLMC NOTES                   </v>
      </c>
      <c r="B270" s="228">
        <v>13052901</v>
      </c>
      <c r="C270" s="247">
        <f>VLOOKUP(B270,'INV500 '!$K$3:$T$1990,10,FALSE)</f>
        <v>43067</v>
      </c>
      <c r="D270" s="295">
        <f>SUMPRODUCT('INV500 '!$V$3:$V$1990*((WebPosting!B270='INV500 '!$K$3:$K$1990)*1000)*('INV500 '!$O$3:$O$1990&lt;&gt;"M")*('INV500 '!$C$3:$C$1990=85))</f>
        <v>25000000</v>
      </c>
      <c r="E270" s="214">
        <f>VLOOKUP($B270,'INV500 '!$K$3:$U$1990,11,FALSE)/100</f>
        <v>7.4999999999999997E-3</v>
      </c>
      <c r="G270" s="214">
        <f>($D270*$E270)/($D$345+$D$369)</f>
        <v>5.6628566871246396E-5</v>
      </c>
    </row>
    <row r="271" spans="1:7">
      <c r="A271" s="211" t="str">
        <f>INDEX('INV500 '!$D$3:$D$402,MATCH(WebPosting!$B271,'INV500 '!$K$3:$K$402,0))</f>
        <v xml:space="preserve">FHLMC NOTES                   </v>
      </c>
      <c r="B271" s="316">
        <v>16060716</v>
      </c>
      <c r="C271" s="247">
        <f>VLOOKUP(B271,'INV500 '!$K$3:$T$1990,10,FALSE)</f>
        <v>43076</v>
      </c>
      <c r="D271" s="295">
        <f>SUMPRODUCT('INV500 '!$V$3:$V$1990*((WebPosting!B271='INV500 '!$K$3:$K$1990)*1000)*('INV500 '!$O$3:$O$1990&lt;&gt;"M")*('INV500 '!$C$3:$C$1990=85))</f>
        <v>25000000</v>
      </c>
      <c r="E271" s="214">
        <f>VLOOKUP($B271,'INV500 '!$K$3:$U$1990,11,FALSE)/100</f>
        <v>8.7500000000000008E-3</v>
      </c>
      <c r="G271" s="214">
        <f>($D271*$E271)/($D$345+$D$369)</f>
        <v>6.6066661349787476E-5</v>
      </c>
    </row>
    <row r="272" spans="1:7">
      <c r="A272" s="211" t="str">
        <f>INDEX('INV500 '!$D$3:$D$402,MATCH(WebPosting!$B272,'INV500 '!$K$3:$K$402,0))</f>
        <v xml:space="preserve">FHLMC NOTES                   </v>
      </c>
      <c r="B272" s="340">
        <v>16062712</v>
      </c>
      <c r="C272" s="247">
        <f>VLOOKUP(B272,'INV500 '!$K$3:$T$1990,10,FALSE)</f>
        <v>43096</v>
      </c>
      <c r="D272" s="295">
        <f>SUMPRODUCT('INV500 '!$V$3:$V$1990*((WebPosting!B272='INV500 '!$K$3:$K$1990)*1000)*('INV500 '!$O$3:$O$1990&lt;&gt;"M")*('INV500 '!$C$3:$C$1990=85))</f>
        <v>25000000</v>
      </c>
      <c r="E272" s="214">
        <f>VLOOKUP($B272,'INV500 '!$K$3:$U$1990,11,FALSE)/100</f>
        <v>8.7500000000000008E-3</v>
      </c>
      <c r="G272" s="214">
        <f>($D272*$E272)/($D$345+$D$369)</f>
        <v>6.6066661349787476E-5</v>
      </c>
    </row>
    <row r="273" spans="1:7">
      <c r="A273" s="211" t="str">
        <f>INDEX('INV500 '!$D$3:$D$402,MATCH(WebPosting!$B273,'INV500 '!$K$3:$K$402,0))</f>
        <v xml:space="preserve">FHLMC NOTES                   </v>
      </c>
      <c r="B273" s="340">
        <v>16062810</v>
      </c>
      <c r="C273" s="247">
        <f>VLOOKUP(B273,'INV500 '!$K$3:$T$1990,10,FALSE)</f>
        <v>43097</v>
      </c>
      <c r="D273" s="295">
        <f>SUMPRODUCT('INV500 '!$V$3:$V$1990*((WebPosting!B273='INV500 '!$K$3:$K$1990)*1000)*('INV500 '!$O$3:$O$1990&lt;&gt;"M")*('INV500 '!$C$3:$C$1990=85))</f>
        <v>25000000</v>
      </c>
      <c r="E273" s="214">
        <f>VLOOKUP($B273,'INV500 '!$K$3:$U$1990,11,FALSE)/100</f>
        <v>8.0000000000000002E-3</v>
      </c>
      <c r="G273" s="214">
        <f>($D273*$E273)/($D$345+$D$369)</f>
        <v>6.0403804662662826E-5</v>
      </c>
    </row>
    <row r="274" spans="1:7">
      <c r="A274" s="211" t="str">
        <f>INDEX('INV500 '!$D$3:$D$402,MATCH(WebPosting!$B274,'INV500 '!$K$3:$K$402,0))</f>
        <v xml:space="preserve">FHLMC NOTES                   </v>
      </c>
      <c r="B274" s="334">
        <v>16042615</v>
      </c>
      <c r="C274" s="247">
        <f>VLOOKUP(B274,'INV500 '!$K$3:$T$1990,10,FALSE)</f>
        <v>43126</v>
      </c>
      <c r="D274" s="295">
        <f>SUMPRODUCT('INV500 '!$V$3:$V$1990*((WebPosting!B274='INV500 '!$K$3:$K$1990)*1000)*('INV500 '!$O$3:$O$1990&lt;&gt;"M")*('INV500 '!$C$3:$C$1990=85))</f>
        <v>25000000</v>
      </c>
      <c r="E274" s="214">
        <f>VLOOKUP($B274,'INV500 '!$K$3:$U$1990,11,FALSE)/100</f>
        <v>9.0000000000000011E-3</v>
      </c>
      <c r="G274" s="214">
        <f>($D274*$E274)/($D$345+$D$369)</f>
        <v>6.7954280245495681E-5</v>
      </c>
    </row>
    <row r="275" spans="1:7">
      <c r="A275" s="211" t="str">
        <f>INDEX('INV500 '!$D$3:$D$402,MATCH(WebPosting!$B275,'INV500 '!$K$3:$K$402,0))</f>
        <v xml:space="preserve">FHLMC NOTES                   </v>
      </c>
      <c r="B275" s="228">
        <v>17032001</v>
      </c>
      <c r="C275" s="247">
        <f>VLOOKUP(B275,'INV500 '!$K$3:$T$1990,10,FALSE)</f>
        <v>43199</v>
      </c>
      <c r="D275" s="295">
        <f>SUMPRODUCT('INV500 '!$V$3:$V$1990*((WebPosting!B275='INV500 '!$K$3:$K$1990)*1000)*('INV500 '!$O$3:$O$1990&lt;&gt;"M")*('INV500 '!$C$3:$C$1990=85))</f>
        <v>25000000</v>
      </c>
      <c r="E275" s="214">
        <f>VLOOKUP($B275,'INV500 '!$K$3:$U$1990,11,FALSE)/100</f>
        <v>7.4999999999999997E-3</v>
      </c>
      <c r="G275" s="214">
        <f>($D275*$E275)/($D$345+$D$369)</f>
        <v>5.6628566871246396E-5</v>
      </c>
    </row>
    <row r="276" spans="1:7">
      <c r="A276" s="211" t="str">
        <f>INDEX('INV500 '!$D$3:$D$402,MATCH(WebPosting!$B276,'INV500 '!$K$3:$K$402,0))</f>
        <v xml:space="preserve">FHLMC NOTES                   </v>
      </c>
      <c r="B276" s="338">
        <v>16071909</v>
      </c>
      <c r="C276" s="247">
        <f>VLOOKUP(B276,'INV500 '!$K$3:$T$1990,10,FALSE)</f>
        <v>43209</v>
      </c>
      <c r="D276" s="295">
        <f>SUMPRODUCT('INV500 '!$V$3:$V$1990*((WebPosting!B276='INV500 '!$K$3:$K$1990)*1000)*('INV500 '!$O$3:$O$1990&lt;&gt;"M")*('INV500 '!$C$3:$C$1990=85))</f>
        <v>25000000</v>
      </c>
      <c r="E276" s="214">
        <f>VLOOKUP($B276,'INV500 '!$K$3:$U$1990,11,FALSE)/100</f>
        <v>7.4000000000000003E-3</v>
      </c>
      <c r="G276" s="214">
        <f>($D276*$E276)/($D$345+$D$369)</f>
        <v>5.5873519312963114E-5</v>
      </c>
    </row>
    <row r="277" spans="1:7">
      <c r="A277" s="211" t="str">
        <f>INDEX('INV500 '!$D$3:$D$402,MATCH(WebPosting!$B277,'INV500 '!$K$3:$K$402,0))</f>
        <v xml:space="preserve">FHLMC NOTES                   </v>
      </c>
      <c r="B277" s="339">
        <v>16121605</v>
      </c>
      <c r="C277" s="247">
        <f>VLOOKUP(B277,'INV500 '!$K$3:$T$1990,10,FALSE)</f>
        <v>43235</v>
      </c>
      <c r="D277" s="295">
        <f>SUMPRODUCT('INV500 '!$V$3:$V$1990*((WebPosting!B277='INV500 '!$K$3:$K$1990)*1000)*('INV500 '!$O$3:$O$1990&lt;&gt;"M")*('INV500 '!$C$3:$C$1990=85))</f>
        <v>25000000</v>
      </c>
      <c r="E277" s="214">
        <f>VLOOKUP($B277,'INV500 '!$K$3:$U$1990,11,FALSE)/100</f>
        <v>6.2500000000000003E-3</v>
      </c>
      <c r="G277" s="214">
        <f>($D277*$E277)/($D$345+$D$369)</f>
        <v>4.719047239270533E-5</v>
      </c>
    </row>
    <row r="278" spans="1:7">
      <c r="A278" s="211" t="str">
        <f>INDEX('INV500 '!$D$3:$D$402,MATCH(WebPosting!$B278,'INV500 '!$K$3:$K$402,0))</f>
        <v xml:space="preserve">FHLMC NOTES                   </v>
      </c>
      <c r="B278" s="338">
        <v>16072012</v>
      </c>
      <c r="C278" s="247">
        <f>VLOOKUP(B278,'INV500 '!$K$3:$T$1990,10,FALSE)</f>
        <v>43665</v>
      </c>
      <c r="D278" s="295">
        <f>SUMPRODUCT('INV500 '!$V$3:$V$1990*((WebPosting!B278='INV500 '!$K$3:$K$1990)*1000)*('INV500 '!$O$3:$O$1990&lt;&gt;"M")*('INV500 '!$C$3:$C$1990=85))</f>
        <v>20000000</v>
      </c>
      <c r="E278" s="214">
        <f>VLOOKUP($B278,'INV500 '!$K$3:$U$1990,11,FALSE)/100</f>
        <v>8.7500000000000008E-3</v>
      </c>
      <c r="G278" s="214">
        <f>($D278*$E278)/($D$345+$D$369)</f>
        <v>5.2853329079829979E-5</v>
      </c>
    </row>
    <row r="279" spans="1:7">
      <c r="A279" s="211" t="str">
        <f>INDEX('INV500 '!$D$3:$D$402,MATCH(WebPosting!$B279,'INV500 '!$K$3:$K$402,0))</f>
        <v xml:space="preserve">FHLMC NOTES                   </v>
      </c>
      <c r="B279" s="254">
        <v>16072621</v>
      </c>
      <c r="C279" s="247">
        <f>VLOOKUP(B279,'INV500 '!$K$3:$T$1990,10,FALSE)</f>
        <v>43672</v>
      </c>
      <c r="D279" s="295">
        <f>SUMPRODUCT('INV500 '!$V$3:$V$1990*((WebPosting!B279='INV500 '!$K$3:$K$1990)*1000)*('INV500 '!$O$3:$O$1990&lt;&gt;"M")*('INV500 '!$C$3:$C$1990=85))</f>
        <v>25000000</v>
      </c>
      <c r="E279" s="214">
        <f>VLOOKUP($B279,'INV500 '!$K$3:$U$1990,11,FALSE)/100</f>
        <v>1.15E-2</v>
      </c>
      <c r="G279" s="214">
        <f>($D279*$E279)/($D$345+$D$369)</f>
        <v>8.6830469202577813E-5</v>
      </c>
    </row>
    <row r="280" spans="1:7">
      <c r="A280" s="211" t="str">
        <f>INDEX('INV500 '!$D$3:$D$402,MATCH(WebPosting!$B280,'INV500 '!$K$3:$K$402,0))</f>
        <v xml:space="preserve">FHLMC NOTES                   </v>
      </c>
      <c r="B280" s="409">
        <v>17022823</v>
      </c>
      <c r="C280" s="247">
        <f>VLOOKUP(B280,'INV500 '!$K$3:$T$1990,10,FALSE)</f>
        <v>43705</v>
      </c>
      <c r="D280" s="295">
        <f>SUMPRODUCT('INV500 '!$V$3:$V$1990*((WebPosting!B280='INV500 '!$K$3:$K$1990)*1000)*('INV500 '!$O$3:$O$1990&lt;&gt;"M")*('INV500 '!$C$3:$C$1990=85))</f>
        <v>25000000</v>
      </c>
      <c r="E280" s="214">
        <f>VLOOKUP($B280,'INV500 '!$K$3:$U$1990,11,FALSE)/100</f>
        <v>0.01</v>
      </c>
      <c r="G280" s="214">
        <f>($D280*$E280)/($D$345+$D$369)</f>
        <v>7.5504755828328528E-5</v>
      </c>
    </row>
    <row r="281" spans="1:7">
      <c r="A281" s="211" t="str">
        <f>INDEX('INV500 '!$D$3:$D$402,MATCH(WebPosting!$B281,'INV500 '!$K$3:$K$402,0))</f>
        <v xml:space="preserve">FHLMC NOTES                   </v>
      </c>
      <c r="B281" s="309">
        <v>16092310</v>
      </c>
      <c r="C281" s="247">
        <f>VLOOKUP(B281,'INV500 '!$K$3:$T$1990,10,FALSE)</f>
        <v>43731</v>
      </c>
      <c r="D281" s="295">
        <f>SUMPRODUCT('INV500 '!$V$3:$V$1990*((WebPosting!B281='INV500 '!$K$3:$K$1990)*1000)*('INV500 '!$O$3:$O$1990&lt;&gt;"M")*('INV500 '!$C$3:$C$1990=85))</f>
        <v>25000000</v>
      </c>
      <c r="E281" s="214">
        <f>VLOOKUP($B281,'INV500 '!$K$3:$U$1990,11,FALSE)/100</f>
        <v>0.01</v>
      </c>
      <c r="G281" s="214">
        <f>($D281*$E281)/($D$345+$D$369)</f>
        <v>7.5504755828328528E-5</v>
      </c>
    </row>
    <row r="282" spans="1:7">
      <c r="A282" s="211" t="str">
        <f>INDEX('INV500 '!$D$3:$D$402,MATCH(WebPosting!$B282,'INV500 '!$K$3:$K$402,0))</f>
        <v xml:space="preserve">FHLMC NOTES                   </v>
      </c>
      <c r="B282" s="254">
        <v>16072510</v>
      </c>
      <c r="C282" s="247">
        <f>VLOOKUP(B282,'INV500 '!$K$3:$T$1990,10,FALSE)</f>
        <v>43763</v>
      </c>
      <c r="D282" s="295">
        <f>SUMPRODUCT('INV500 '!$V$3:$V$1990*((WebPosting!B282='INV500 '!$K$3:$K$1990)*1000)*('INV500 '!$O$3:$O$1990&lt;&gt;"M")*('INV500 '!$C$3:$C$1990=85))</f>
        <v>25000000</v>
      </c>
      <c r="E282" s="214">
        <f>VLOOKUP($B282,'INV500 '!$K$3:$U$1990,11,FALSE)/100</f>
        <v>1.125E-2</v>
      </c>
      <c r="G282" s="214">
        <f>($D282*$E282)/($D$345+$D$369)</f>
        <v>8.4942850306869594E-5</v>
      </c>
    </row>
    <row r="283" spans="1:7">
      <c r="A283" s="211" t="str">
        <f>INDEX('INV500 '!$D$3:$D$402,MATCH(WebPosting!$B283,'INV500 '!$K$3:$K$402,0))</f>
        <v xml:space="preserve">FHLMC NOTES                   </v>
      </c>
      <c r="B283" s="337">
        <v>16082503</v>
      </c>
      <c r="C283" s="247">
        <f>VLOOKUP(B283,'INV500 '!$K$3:$T$1990,10,FALSE)</f>
        <v>43885</v>
      </c>
      <c r="D283" s="295">
        <f>SUMPRODUCT('INV500 '!$V$3:$V$1990*((WebPosting!B283='INV500 '!$K$3:$K$1990)*1000)*('INV500 '!$O$3:$O$1990&lt;&gt;"M")*('INV500 '!$C$3:$C$1990=85))</f>
        <v>25000000</v>
      </c>
      <c r="E283" s="214">
        <f>VLOOKUP($B283,'INV500 '!$K$3:$U$1990,11,FALSE)/100</f>
        <v>0.01</v>
      </c>
      <c r="G283" s="214">
        <f>($D283*$E283)/($D$345+$D$369)</f>
        <v>7.5504755828328528E-5</v>
      </c>
    </row>
    <row r="284" spans="1:7">
      <c r="A284" s="211" t="str">
        <f>INDEX('INV500 '!$D$3:$D$402,MATCH(WebPosting!$B284,'INV500 '!$K$3:$K$402,0))</f>
        <v xml:space="preserve">FHLMC NOTES                   </v>
      </c>
      <c r="B284" s="336">
        <v>16092905</v>
      </c>
      <c r="C284" s="247">
        <f>VLOOKUP(B284,'INV500 '!$K$3:$T$1990,10,FALSE)</f>
        <v>44103</v>
      </c>
      <c r="D284" s="295">
        <f>SUMPRODUCT('INV500 '!$V$3:$V$1990*((WebPosting!B284='INV500 '!$K$3:$K$1990)*1000)*('INV500 '!$O$3:$O$1990&lt;&gt;"M")*('INV500 '!$C$3:$C$1990=85))</f>
        <v>25000000</v>
      </c>
      <c r="E284" s="214">
        <f>VLOOKUP($B284,'INV500 '!$K$3:$U$1990,11,FALSE)/100</f>
        <v>0.01</v>
      </c>
      <c r="G284" s="214">
        <f>($D284*$E284)/($D$345+$D$369)</f>
        <v>7.5504755828328528E-5</v>
      </c>
    </row>
    <row r="285" spans="1:7">
      <c r="A285" s="211" t="str">
        <f>INDEX('INV500 '!$D$3:$D$402,MATCH(WebPosting!$B285,'INV500 '!$K$3:$K$402,0))</f>
        <v xml:space="preserve">FHLMC NOTES                   </v>
      </c>
      <c r="B285" s="254">
        <v>16072712</v>
      </c>
      <c r="C285" s="247">
        <f>VLOOKUP(B285,'INV500 '!$K$3:$T$1990,10,FALSE)</f>
        <v>44404</v>
      </c>
      <c r="D285" s="295">
        <f>SUMPRODUCT('INV500 '!$V$3:$V$1990*((WebPosting!B285='INV500 '!$K$3:$K$1990)*1000)*('INV500 '!$O$3:$O$1990&lt;&gt;"M")*('INV500 '!$C$3:$C$1990=85))</f>
        <v>25000000</v>
      </c>
      <c r="E285" s="214">
        <f>VLOOKUP($B285,'INV500 '!$K$3:$U$1990,11,FALSE)/100</f>
        <v>1.1000000000000001E-2</v>
      </c>
      <c r="G285" s="214">
        <f>($D285*$E285)/($D$345+$D$369)</f>
        <v>8.3055231411161389E-5</v>
      </c>
    </row>
    <row r="286" spans="1:7">
      <c r="A286" s="211" t="str">
        <f>INDEX('INV500 '!$D$3:$D$402,MATCH(WebPosting!$B286,'INV500 '!$K$3:$K$402,0))</f>
        <v xml:space="preserve">FHLMC NOTES                   </v>
      </c>
      <c r="B286" s="337">
        <v>16082314</v>
      </c>
      <c r="C286" s="247">
        <f>VLOOKUP(B286,'INV500 '!$K$3:$T$1990,10,FALSE)</f>
        <v>44431</v>
      </c>
      <c r="D286" s="295">
        <f>SUMPRODUCT('INV500 '!$V$3:$V$1990*((WebPosting!B286='INV500 '!$K$3:$K$1990)*1000)*('INV500 '!$O$3:$O$1990&lt;&gt;"M")*('INV500 '!$C$3:$C$1990=85))</f>
        <v>25000000</v>
      </c>
      <c r="E286" s="214">
        <f>VLOOKUP($B286,'INV500 '!$K$3:$U$1990,11,FALSE)/100</f>
        <v>0.01</v>
      </c>
      <c r="G286" s="214">
        <f>($D286*$E286)/($D$345+$D$369)</f>
        <v>7.5504755828328528E-5</v>
      </c>
    </row>
    <row r="287" spans="1:7">
      <c r="A287" s="211" t="str">
        <f>INDEX('INV500 '!$D$3:$D$402,MATCH(WebPosting!$B287,'INV500 '!$K$3:$K$402,0))</f>
        <v xml:space="preserve">FHLMC NOTES                   </v>
      </c>
      <c r="B287" s="337">
        <v>16082406</v>
      </c>
      <c r="C287" s="247">
        <f>VLOOKUP(B287,'INV500 '!$K$3:$T$1990,10,FALSE)</f>
        <v>44432</v>
      </c>
      <c r="D287" s="295">
        <f>SUMPRODUCT('INV500 '!$V$3:$V$1990*((WebPosting!B287='INV500 '!$K$3:$K$1990)*1000)*('INV500 '!$O$3:$O$1990&lt;&gt;"M")*('INV500 '!$C$3:$C$1990=85))</f>
        <v>25000000</v>
      </c>
      <c r="E287" s="214">
        <f>VLOOKUP($B287,'INV500 '!$K$3:$U$1990,11,FALSE)/100</f>
        <v>1.2500000000000001E-2</v>
      </c>
      <c r="G287" s="214">
        <f>($D287*$E287)/($D$345+$D$369)</f>
        <v>9.438094478541066E-5</v>
      </c>
    </row>
    <row r="288" spans="1:7">
      <c r="A288" s="211" t="str">
        <f>INDEX('INV500 '!$D$3:$D$402,MATCH(WebPosting!$B288,'INV500 '!$K$3:$K$402,0))</f>
        <v xml:space="preserve">FHLMC NOTES                   </v>
      </c>
      <c r="B288" s="337">
        <v>16082413</v>
      </c>
      <c r="C288" s="247">
        <f>VLOOKUP(B288,'INV500 '!$K$3:$T$1990,10,FALSE)</f>
        <v>44432</v>
      </c>
      <c r="D288" s="295">
        <f>SUMPRODUCT('INV500 '!$V$3:$V$1990*((WebPosting!B288='INV500 '!$K$3:$K$1990)*1000)*('INV500 '!$O$3:$O$1990&lt;&gt;"M")*('INV500 '!$C$3:$C$1990=85))</f>
        <v>25000000</v>
      </c>
      <c r="E288" s="214">
        <f>VLOOKUP($B288,'INV500 '!$K$3:$U$1990,11,FALSE)/100</f>
        <v>1.125E-2</v>
      </c>
      <c r="G288" s="214">
        <f>($D288*$E288)/($D$345+$D$369)</f>
        <v>8.4942850306869594E-5</v>
      </c>
    </row>
    <row r="289" spans="1:7">
      <c r="A289" s="211" t="str">
        <f>INDEX('INV500 '!$D$3:$D$402,MATCH(WebPosting!$B289,'INV500 '!$K$3:$K$402,0))</f>
        <v xml:space="preserve">FHLMC NOTES                   </v>
      </c>
      <c r="B289" s="325">
        <v>16083009</v>
      </c>
      <c r="C289" s="247">
        <f>VLOOKUP(B289,'INV500 '!$K$3:$T$1990,10,FALSE)</f>
        <v>44435</v>
      </c>
      <c r="D289" s="295">
        <f>SUMPRODUCT('INV500 '!$V$3:$V$1990*((WebPosting!B289='INV500 '!$K$3:$K$1990)*1000)*('INV500 '!$O$3:$O$1990&lt;&gt;"M")*('INV500 '!$C$3:$C$1990=85))</f>
        <v>25000000</v>
      </c>
      <c r="E289" s="214">
        <f>VLOOKUP($B289,'INV500 '!$K$3:$U$1990,11,FALSE)/100</f>
        <v>1.03E-2</v>
      </c>
      <c r="G289" s="214">
        <f>($D289*$E289)/($D$345+$D$369)</f>
        <v>7.7769898503178388E-5</v>
      </c>
    </row>
    <row r="290" spans="1:7">
      <c r="A290" s="211" t="str">
        <f>INDEX('INV500 '!$D$3:$D$402,MATCH(WebPosting!$B290,'INV500 '!$K$3:$K$402,0))</f>
        <v xml:space="preserve">FHLMC NOTES                   </v>
      </c>
      <c r="B290" s="325">
        <v>16090107</v>
      </c>
      <c r="C290" s="247">
        <f>VLOOKUP(B290,'INV500 '!$K$3:$T$1990,10,FALSE)</f>
        <v>44440</v>
      </c>
      <c r="D290" s="295">
        <f>SUMPRODUCT('INV500 '!$V$3:$V$1990*((WebPosting!B290='INV500 '!$K$3:$K$1990)*1000)*('INV500 '!$O$3:$O$1990&lt;&gt;"M")*('INV500 '!$C$3:$C$1990=85))</f>
        <v>25000000</v>
      </c>
      <c r="E290" s="214">
        <f>VLOOKUP($B290,'INV500 '!$K$3:$U$1990,11,FALSE)/100</f>
        <v>0.01</v>
      </c>
      <c r="G290" s="214">
        <f>($D290*$E290)/($D$345+$D$369)</f>
        <v>7.5504755828328528E-5</v>
      </c>
    </row>
    <row r="291" spans="1:7">
      <c r="A291" s="211" t="str">
        <f>INDEX('INV500 '!$D$3:$D$402,MATCH(WebPosting!$B291,'INV500 '!$K$3:$K$402,0))</f>
        <v xml:space="preserve">FHLMC NOTES                   </v>
      </c>
      <c r="B291" s="281">
        <v>16090903</v>
      </c>
      <c r="C291" s="247">
        <f>VLOOKUP(B291,'INV500 '!$K$3:$T$1990,10,FALSE)</f>
        <v>44448</v>
      </c>
      <c r="D291" s="295">
        <f>SUMPRODUCT('INV500 '!$V$3:$V$1990*((WebPosting!B291='INV500 '!$K$3:$K$1990)*1000)*('INV500 '!$O$3:$O$1990&lt;&gt;"M")*('INV500 '!$C$3:$C$1990=85))</f>
        <v>25000000</v>
      </c>
      <c r="E291" s="214">
        <f>VLOOKUP($B291,'INV500 '!$K$3:$U$1990,11,FALSE)/100</f>
        <v>1.3999999999999999E-2</v>
      </c>
      <c r="G291" s="214">
        <f>($D291*$E291)/($D$345+$D$369)</f>
        <v>1.0570665815965993E-4</v>
      </c>
    </row>
    <row r="292" spans="1:7">
      <c r="A292" s="211" t="str">
        <f>INDEX('INV500 '!$D$3:$D$402,MATCH(WebPosting!$B292,'INV500 '!$K$3:$K$402,0))</f>
        <v xml:space="preserve">FHLMC NOTES                   </v>
      </c>
      <c r="B292" s="336">
        <v>16093011</v>
      </c>
      <c r="C292" s="247">
        <f>VLOOKUP(B292,'INV500 '!$K$3:$T$1990,10,FALSE)</f>
        <v>44469</v>
      </c>
      <c r="D292" s="295">
        <f>SUMPRODUCT('INV500 '!$V$3:$V$1990*((WebPosting!B292='INV500 '!$K$3:$K$1990)*1000)*('INV500 '!$O$3:$O$1990&lt;&gt;"M")*('INV500 '!$C$3:$C$1990=85))</f>
        <v>30000000</v>
      </c>
      <c r="E292" s="214">
        <f>VLOOKUP($B292,'INV500 '!$K$3:$U$1990,11,FALSE)/100</f>
        <v>1.125E-2</v>
      </c>
      <c r="G292" s="214">
        <f>($D292*$E292)/($D$345+$D$369)</f>
        <v>1.0193142036824352E-4</v>
      </c>
    </row>
    <row r="293" spans="1:7">
      <c r="A293" s="211" t="str">
        <f>INDEX('INV500 '!$D$3:$D$402,MATCH(WebPosting!$B293,'INV500 '!$K$3:$K$402,0))</f>
        <v xml:space="preserve">FHLMC NOTES                   </v>
      </c>
      <c r="B293" s="336">
        <v>16093012</v>
      </c>
      <c r="C293" s="247">
        <f>VLOOKUP(B293,'INV500 '!$K$3:$T$1990,10,FALSE)</f>
        <v>44469</v>
      </c>
      <c r="D293" s="295">
        <f>SUMPRODUCT('INV500 '!$V$3:$V$1990*((WebPosting!B293='INV500 '!$K$3:$K$1990)*1000)*('INV500 '!$O$3:$O$1990&lt;&gt;"M")*('INV500 '!$C$3:$C$1990=85))</f>
        <v>30000000</v>
      </c>
      <c r="E293" s="214">
        <f>VLOOKUP($B293,'INV500 '!$K$3:$U$1990,11,FALSE)/100</f>
        <v>1.2500000000000001E-2</v>
      </c>
      <c r="G293" s="214">
        <f>($D293*$E293)/($D$345+$D$369)</f>
        <v>1.1325713374249279E-4</v>
      </c>
    </row>
    <row r="294" spans="1:7">
      <c r="A294" s="211" t="str">
        <f>INDEX('INV500 '!$D$3:$D$402,MATCH(WebPosting!$B294,'INV500 '!$K$3:$K$402,0))</f>
        <v xml:space="preserve">FHLMC NOTES                   </v>
      </c>
      <c r="B294" s="414">
        <v>17032906</v>
      </c>
      <c r="C294" s="247">
        <f>VLOOKUP(B294,'INV500 '!$K$3:$T$1990,10,FALSE)</f>
        <v>44649</v>
      </c>
      <c r="D294" s="295">
        <f>SUMPRODUCT('INV500 '!$V$3:$V$1990*((WebPosting!B294='INV500 '!$K$3:$K$1990)*1000)*('INV500 '!$O$3:$O$1990&lt;&gt;"M")*('INV500 '!$C$3:$C$1990=85))</f>
        <v>25000000</v>
      </c>
      <c r="E294" s="214">
        <f>VLOOKUP($B294,'INV500 '!$K$3:$U$1990,11,FALSE)/100</f>
        <v>1.2500000000000001E-2</v>
      </c>
      <c r="G294" s="214">
        <f>($D294*$E294)/($D$345+$D$369)</f>
        <v>9.438094478541066E-5</v>
      </c>
    </row>
    <row r="295" spans="1:7">
      <c r="A295" s="211" t="str">
        <f>INDEX('INV500 '!$D$3:$D$402,MATCH(WebPosting!$B295,'INV500 '!$K$3:$K$402,0))</f>
        <v xml:space="preserve">FHLMC DISCOUNT NOTES          </v>
      </c>
      <c r="B295" s="398">
        <v>17031701</v>
      </c>
      <c r="C295" s="247">
        <f>VLOOKUP(B295,'INV500 '!$K$3:$T$1990,10,FALSE)</f>
        <v>42979</v>
      </c>
      <c r="D295" s="295">
        <f>SUMPRODUCT('INV500 '!$V$3:$V$1990*((WebPosting!B295='INV500 '!$K$3:$K$1990)*1000)*('INV500 '!$O$3:$O$1990&lt;&gt;"M")*('INV500 '!$C$3:$C$1990=65))</f>
        <v>25000000</v>
      </c>
      <c r="E295" s="214">
        <f>VLOOKUP($B295,'INV500 '!$K$3:$U$1990,11,FALSE)/100</f>
        <v>8.6999999999999994E-3</v>
      </c>
      <c r="G295" s="214">
        <f>($D295*$E295)/($D$345+$D$369)</f>
        <v>6.5689137570645807E-5</v>
      </c>
    </row>
    <row r="296" spans="1:7" hidden="1">
      <c r="A296" s="211" t="e">
        <f>INDEX('INV500 '!$D$3:$D$402,MATCH(WebPosting!$B296,'INV500 '!$K$3:$K$402,0))</f>
        <v>#N/A</v>
      </c>
      <c r="B296" s="335">
        <v>16032310</v>
      </c>
      <c r="C296" s="247" t="e">
        <f>VLOOKUP(B296,'INV500 '!$K$3:$T$1990,10,FALSE)</f>
        <v>#N/A</v>
      </c>
      <c r="D296" s="295">
        <f>SUMPRODUCT('INV500 '!$V$3:$V$1990*((WebPosting!B296='INV500 '!$K$3:$K$1990)*1000)*('INV500 '!$O$3:$O$1990&lt;&gt;"M")*('INV500 '!$C$3:$C$1990=89))</f>
        <v>0</v>
      </c>
      <c r="E296" s="214" t="e">
        <f>VLOOKUP($B296,'INV500 '!$K$3:$U$1990,11,FALSE)/100</f>
        <v>#N/A</v>
      </c>
      <c r="G296" s="214" t="e">
        <f>($D296*$E296)/($D$345+$D$369)</f>
        <v>#N/A</v>
      </c>
    </row>
    <row r="297" spans="1:7">
      <c r="A297" s="211" t="str">
        <f>INDEX('INV500 '!$D$3:$D$402,MATCH(WebPosting!$B297,'INV500 '!$K$3:$K$402,0))</f>
        <v xml:space="preserve">FARMER MAC NOTES              </v>
      </c>
      <c r="B297" s="334">
        <v>16042911</v>
      </c>
      <c r="C297" s="247">
        <f>VLOOKUP(B297,'INV500 '!$K$3:$T$1990,10,FALSE)</f>
        <v>42853</v>
      </c>
      <c r="D297" s="295">
        <f>SUMPRODUCT('INV500 '!$V$3:$V$1990*((WebPosting!B297='INV500 '!$K$3:$K$1990)*1000)*('INV500 '!$O$3:$O$1990&lt;&gt;"M")*('INV500 '!$C$3:$C$1990=89))</f>
        <v>25000000</v>
      </c>
      <c r="E297" s="214">
        <f>VLOOKUP($B297,'INV500 '!$K$3:$U$1990,11,FALSE)/100</f>
        <v>6.7500000000000008E-3</v>
      </c>
      <c r="G297" s="214">
        <f>($D297*$E297)/($D$345+$D$369)</f>
        <v>5.0965710184121767E-5</v>
      </c>
    </row>
    <row r="298" spans="1:7">
      <c r="A298" s="211" t="str">
        <f>INDEX('INV500 '!$D$3:$D$402,MATCH(WebPosting!$B298,'INV500 '!$K$3:$K$402,0))</f>
        <v xml:space="preserve">FARMER MAC NOTES              </v>
      </c>
      <c r="B298" s="333">
        <v>16030710</v>
      </c>
      <c r="C298" s="247">
        <f>VLOOKUP(B298,'INV500 '!$K$3:$T$1990,10,FALSE)</f>
        <v>42893</v>
      </c>
      <c r="D298" s="295">
        <f>SUMPRODUCT('INV500 '!$V$3:$V$1990*((WebPosting!B298='INV500 '!$K$3:$K$1990)*1000)*('INV500 '!$O$3:$O$1990&lt;&gt;"M")*('INV500 '!$C$3:$C$1990=89))</f>
        <v>25000000</v>
      </c>
      <c r="E298" s="214">
        <f>VLOOKUP($B298,'INV500 '!$K$3:$U$1990,11,FALSE)/100</f>
        <v>7.6E-3</v>
      </c>
      <c r="G298" s="214">
        <f>($D298*$E298)/($D$345+$D$369)</f>
        <v>5.7383614429529685E-5</v>
      </c>
    </row>
    <row r="299" spans="1:7">
      <c r="A299" s="211" t="str">
        <f>INDEX('INV500 '!$D$3:$D$402,MATCH(WebPosting!$B299,'INV500 '!$K$3:$K$402,0))</f>
        <v xml:space="preserve">FARMER MAC NOTES              </v>
      </c>
      <c r="B299" s="332">
        <v>16080414</v>
      </c>
      <c r="C299" s="247">
        <f>VLOOKUP(B299,'INV500 '!$K$3:$T$1990,10,FALSE)</f>
        <v>42978</v>
      </c>
      <c r="D299" s="295">
        <f>SUMPRODUCT('INV500 '!$V$3:$V$1990*((WebPosting!B299='INV500 '!$K$3:$K$1990)*1000)*('INV500 '!$O$3:$O$1990&lt;&gt;"M")*('INV500 '!$C$3:$C$1990=89))</f>
        <v>25000000</v>
      </c>
      <c r="E299" s="214">
        <f>VLOOKUP($B299,'INV500 '!$K$3:$U$1990,11,FALSE)/100</f>
        <v>6.8500000000000002E-3</v>
      </c>
      <c r="G299" s="214">
        <f>($D299*$E299)/($D$345+$D$369)</f>
        <v>5.1720757742405042E-5</v>
      </c>
    </row>
    <row r="300" spans="1:7">
      <c r="A300" s="211" t="str">
        <f>INDEX('INV500 '!$D$3:$D$402,MATCH(WebPosting!$B300,'INV500 '!$K$3:$K$402,0))</f>
        <v xml:space="preserve">FARMER MAC NOTES              </v>
      </c>
      <c r="B300" s="331">
        <v>16030112</v>
      </c>
      <c r="C300" s="247">
        <f>VLOOKUP(B300,'INV500 '!$K$3:$T$1990,10,FALSE)</f>
        <v>42979</v>
      </c>
      <c r="D300" s="295">
        <f>SUMPRODUCT('INV500 '!$V$3:$V$1990*((WebPosting!B300='INV500 '!$K$3:$K$1990)*1000)*('INV500 '!$O$3:$O$1990&lt;&gt;"M")*('INV500 '!$C$3:$C$1990=89))</f>
        <v>25000000</v>
      </c>
      <c r="E300" s="214">
        <f>VLOOKUP($B300,'INV500 '!$K$3:$U$1990,11,FALSE)/100</f>
        <v>8.0000000000000002E-3</v>
      </c>
      <c r="G300" s="214">
        <f>($D300*$E300)/($D$345+$D$369)</f>
        <v>6.0403804662662826E-5</v>
      </c>
    </row>
    <row r="301" spans="1:7">
      <c r="A301" s="211" t="str">
        <f>INDEX('INV500 '!$D$3:$D$402,MATCH(WebPosting!$B301,'INV500 '!$K$3:$K$402,0))</f>
        <v xml:space="preserve">FARMER MAC NOTES              </v>
      </c>
      <c r="B301" s="331">
        <v>16030116</v>
      </c>
      <c r="C301" s="247">
        <f>VLOOKUP(B301,'INV500 '!$K$3:$T$1990,10,FALSE)</f>
        <v>42979</v>
      </c>
      <c r="D301" s="295">
        <f>SUMPRODUCT('INV500 '!$V$3:$V$1990*((WebPosting!B301='INV500 '!$K$3:$K$1990)*1000)*('INV500 '!$O$3:$O$1990&lt;&gt;"M")*('INV500 '!$C$3:$C$1990=89))</f>
        <v>25000000</v>
      </c>
      <c r="E301" s="214">
        <f>VLOOKUP($B301,'INV500 '!$K$3:$U$1990,11,FALSE)/100</f>
        <v>8.0000000000000002E-3</v>
      </c>
      <c r="G301" s="214">
        <f>($D301*$E301)/($D$345+$D$369)</f>
        <v>6.0403804662662826E-5</v>
      </c>
    </row>
    <row r="302" spans="1:7">
      <c r="A302" s="211" t="str">
        <f>INDEX('INV500 '!$D$3:$D$402,MATCH(WebPosting!$B302,'INV500 '!$K$3:$K$402,0))</f>
        <v xml:space="preserve">FARMER MAC NOTES              </v>
      </c>
      <c r="B302" s="330">
        <v>16040420</v>
      </c>
      <c r="C302" s="247">
        <f>VLOOKUP(B302,'INV500 '!$K$3:$T$1990,10,FALSE)</f>
        <v>43012</v>
      </c>
      <c r="D302" s="295">
        <f>SUMPRODUCT('INV500 '!$V$3:$V$1990*((WebPosting!B302='INV500 '!$K$3:$K$1990)*1000)*('INV500 '!$O$3:$O$1990&lt;&gt;"M")*('INV500 '!$C$3:$C$1990=89))</f>
        <v>25000000</v>
      </c>
      <c r="E302" s="214">
        <f>VLOOKUP($B302,'INV500 '!$K$3:$U$1990,11,FALSE)/100</f>
        <v>8.6E-3</v>
      </c>
      <c r="G302" s="214">
        <f>($D302*$E302)/($D$345+$D$369)</f>
        <v>6.4934090012362539E-5</v>
      </c>
    </row>
    <row r="303" spans="1:7">
      <c r="A303" s="211" t="str">
        <f>INDEX('INV500 '!$D$3:$D$402,MATCH(WebPosting!$B303,'INV500 '!$K$3:$K$402,0))</f>
        <v xml:space="preserve">FARMER MAC NOTES              </v>
      </c>
      <c r="B303" s="329">
        <v>14102310</v>
      </c>
      <c r="C303" s="247">
        <f>VLOOKUP(B303,'INV500 '!$K$3:$T$1990,10,FALSE)</f>
        <v>43031</v>
      </c>
      <c r="D303" s="295">
        <f>SUMPRODUCT('INV500 '!$V$3:$V$1990*((WebPosting!B303='INV500 '!$K$3:$K$1990)*1000)*('INV500 '!$O$3:$O$1990&lt;&gt;"M")*('INV500 '!$C$3:$C$1990=89))</f>
        <v>16000000</v>
      </c>
      <c r="E303" s="214">
        <f>VLOOKUP($B303,'INV500 '!$K$3:$U$1990,11,FALSE)/100</f>
        <v>9.0000000000000011E-3</v>
      </c>
      <c r="G303" s="214">
        <f>($D303*$E303)/($D$345+$D$369)</f>
        <v>4.3490739357117243E-5</v>
      </c>
    </row>
    <row r="304" spans="1:7">
      <c r="A304" s="211" t="str">
        <f>INDEX('INV500 '!$D$3:$D$402,MATCH(WebPosting!$B304,'INV500 '!$K$3:$K$402,0))</f>
        <v xml:space="preserve">FARMER MAC NOTES              </v>
      </c>
      <c r="B304" s="228">
        <v>17012715</v>
      </c>
      <c r="C304" s="247">
        <f>VLOOKUP(B304,'INV500 '!$K$3:$T$1990,10,FALSE)</f>
        <v>43116</v>
      </c>
      <c r="D304" s="295">
        <f>SUMPRODUCT('INV500 '!$V$3:$V$1990*((WebPosting!B304='INV500 '!$K$3:$K$1990)*1000)*('INV500 '!$O$3:$O$1990&lt;&gt;"M")*('INV500 '!$C$3:$C$1990=89))</f>
        <v>25000000</v>
      </c>
      <c r="E304" s="214">
        <f>VLOOKUP($B304,'INV500 '!$K$3:$U$1990,11,FALSE)/100</f>
        <v>7.2004800000000004E-3</v>
      </c>
      <c r="G304" s="214">
        <f>($D304*$E304)/($D$345+$D$369)</f>
        <v>5.43670484246763E-5</v>
      </c>
    </row>
    <row r="305" spans="1:7">
      <c r="A305" s="211" t="str">
        <f>INDEX('INV500 '!$D$3:$D$402,MATCH(WebPosting!$B305,'INV500 '!$K$3:$K$402,0))</f>
        <v xml:space="preserve">FARMER MAC NOTES              </v>
      </c>
      <c r="B305" s="405">
        <v>17020101</v>
      </c>
      <c r="C305" s="247">
        <f>VLOOKUP(B305,'INV500 '!$K$3:$T$1990,10,FALSE)</f>
        <v>43132</v>
      </c>
      <c r="D305" s="295">
        <f>SUMPRODUCT('INV500 '!$V$3:$V$1990*((WebPosting!B305='INV500 '!$K$3:$K$1990)*1000)*('INV500 '!$O$3:$O$1990&lt;&gt;"M")*('INV500 '!$C$3:$C$1990=89))</f>
        <v>50000000</v>
      </c>
      <c r="E305" s="214">
        <f>VLOOKUP($B305,'INV500 '!$K$3:$U$1990,11,FALSE)/100</f>
        <v>9.0000000000000011E-3</v>
      </c>
      <c r="G305" s="214">
        <f>($D305*$E305)/($D$345+$D$369)</f>
        <v>1.3590856049099136E-4</v>
      </c>
    </row>
    <row r="306" spans="1:7">
      <c r="A306" s="211" t="str">
        <f>INDEX('INV500 '!$D$3:$D$402,MATCH(WebPosting!$B306,'INV500 '!$K$3:$K$402,0))</f>
        <v xml:space="preserve">FARMER MAC NOTES              </v>
      </c>
      <c r="B306" s="304">
        <v>16111612</v>
      </c>
      <c r="C306" s="247">
        <f>VLOOKUP(B306,'INV500 '!$K$3:$T$1990,10,FALSE)</f>
        <v>43147</v>
      </c>
      <c r="D306" s="295">
        <f>SUMPRODUCT('INV500 '!$V$3:$V$1990*((WebPosting!B306='INV500 '!$K$3:$K$1990)*1000)*('INV500 '!$O$3:$O$1990&lt;&gt;"M")*('INV500 '!$C$3:$C$1990=89))</f>
        <v>25000000</v>
      </c>
      <c r="E306" s="214">
        <f>VLOOKUP($B306,'INV500 '!$K$3:$U$1990,11,FALSE)/100</f>
        <v>7.7000000000000002E-3</v>
      </c>
      <c r="G306" s="214">
        <f>($D306*$E306)/($D$345+$D$369)</f>
        <v>5.8138661987812967E-5</v>
      </c>
    </row>
    <row r="307" spans="1:7">
      <c r="A307" s="211" t="str">
        <f>INDEX('INV500 '!$D$3:$D$402,MATCH(WebPosting!$B307,'INV500 '!$K$3:$K$402,0))</f>
        <v xml:space="preserve">FARMER MAC NOTES              </v>
      </c>
      <c r="B307" s="401">
        <v>17030312</v>
      </c>
      <c r="C307" s="247">
        <f>VLOOKUP(B307,'INV500 '!$K$3:$T$1990,10,FALSE)</f>
        <v>43347</v>
      </c>
      <c r="D307" s="295">
        <f>SUMPRODUCT('INV500 '!$V$3:$V$1990*((WebPosting!B307='INV500 '!$K$3:$K$1990)*1000)*('INV500 '!$O$3:$O$1990&lt;&gt;"M")*('INV500 '!$C$3:$C$1990=89))</f>
        <v>50000000</v>
      </c>
      <c r="E307" s="214">
        <f>VLOOKUP($B307,'INV500 '!$K$3:$U$1990,11,FALSE)/100</f>
        <v>1.15E-2</v>
      </c>
      <c r="G307" s="214">
        <f>($D307*$E307)/($D$345+$D$369)</f>
        <v>1.7366093840515563E-4</v>
      </c>
    </row>
    <row r="308" spans="1:7">
      <c r="A308" s="211" t="str">
        <f>INDEX('INV500 '!$D$3:$D$402,MATCH(WebPosting!$B308,'INV500 '!$K$3:$K$402,0))</f>
        <v xml:space="preserve">FARMER MAC NOTES              </v>
      </c>
      <c r="B308" s="281">
        <v>16090810</v>
      </c>
      <c r="C308" s="247">
        <f>VLOOKUP(B308,'INV500 '!$K$3:$T$1990,10,FALSE)</f>
        <v>43174</v>
      </c>
      <c r="D308" s="295">
        <f>SUMPRODUCT('INV500 '!$V$3:$V$1990*((WebPosting!B308='INV500 '!$K$3:$K$1990)*1000)*('INV500 '!$O$3:$O$1990&lt;&gt;"M")*('INV500 '!$C$3:$C$1990=89))</f>
        <v>25000000</v>
      </c>
      <c r="E308" s="214">
        <f>VLOOKUP($B308,'INV500 '!$K$3:$U$1990,11,FALSE)/100</f>
        <v>8.5500000000000003E-3</v>
      </c>
      <c r="G308" s="214">
        <f>($D308*$E308)/($D$345+$D$369)</f>
        <v>6.4556566233220898E-5</v>
      </c>
    </row>
    <row r="309" spans="1:7">
      <c r="A309" s="211" t="str">
        <f>INDEX('INV500 '!$D$3:$D$402,MATCH(WebPosting!$B309,'INV500 '!$K$3:$K$402,0))</f>
        <v xml:space="preserve">FARMER MAC NOTES              </v>
      </c>
      <c r="B309" s="324">
        <v>16101318</v>
      </c>
      <c r="C309" s="247">
        <f>VLOOKUP(B309,'INV500 '!$K$3:$T$1990,10,FALSE)</f>
        <v>43203</v>
      </c>
      <c r="D309" s="295">
        <f>SUMPRODUCT('INV500 '!$V$3:$V$1990*((WebPosting!B309='INV500 '!$K$3:$K$1990)*1000)*('INV500 '!$O$3:$O$1990&lt;&gt;"M")*('INV500 '!$C$3:$C$1990=89))</f>
        <v>25000000</v>
      </c>
      <c r="E309" s="214">
        <f>VLOOKUP($B309,'INV500 '!$K$3:$U$1990,11,FALSE)/100</f>
        <v>8.7500000000000008E-3</v>
      </c>
      <c r="G309" s="214">
        <f>($D309*$E309)/($D$345+$D$369)</f>
        <v>6.6066661349787476E-5</v>
      </c>
    </row>
    <row r="310" spans="1:7">
      <c r="A310" s="211" t="str">
        <f>INDEX('INV500 '!$D$3:$D$402,MATCH(WebPosting!$B310,'INV500 '!$K$3:$K$402,0))</f>
        <v xml:space="preserve">FARMER MAC NOTES              </v>
      </c>
      <c r="B310" s="304">
        <v>16111810</v>
      </c>
      <c r="C310" s="247">
        <f>VLOOKUP(B310,'INV500 '!$K$3:$T$1990,10,FALSE)</f>
        <v>43238</v>
      </c>
      <c r="D310" s="295">
        <f>SUMPRODUCT('INV500 '!$V$3:$V$1990*((WebPosting!B310='INV500 '!$K$3:$K$1990)*1000)*('INV500 '!$O$3:$O$1990&lt;&gt;"M")*('INV500 '!$C$3:$C$1990=89))</f>
        <v>25000000</v>
      </c>
      <c r="E310" s="214">
        <f>VLOOKUP($B310,'INV500 '!$K$3:$U$1990,11,FALSE)/100</f>
        <v>8.0000000000000002E-3</v>
      </c>
      <c r="G310" s="214">
        <f>($D310*$E310)/($D$345+$D$369)</f>
        <v>6.0403804662662826E-5</v>
      </c>
    </row>
    <row r="311" spans="1:7">
      <c r="A311" s="211" t="str">
        <f>INDEX('INV500 '!$D$3:$D$402,MATCH(WebPosting!$B311,'INV500 '!$K$3:$K$402,0))</f>
        <v xml:space="preserve">FARMER MAC NOTES              </v>
      </c>
      <c r="B311" s="320">
        <v>16120810</v>
      </c>
      <c r="C311" s="247">
        <f>VLOOKUP(B311,'INV500 '!$K$3:$T$1990,10,FALSE)</f>
        <v>43259</v>
      </c>
      <c r="D311" s="295">
        <f>SUMPRODUCT('INV500 '!$V$3:$V$1990*((WebPosting!B311='INV500 '!$K$3:$K$1990)*1000)*('INV500 '!$O$3:$O$1990&lt;&gt;"M")*('INV500 '!$C$3:$C$1990=89))</f>
        <v>25000000</v>
      </c>
      <c r="E311" s="214">
        <f>VLOOKUP($B311,'INV500 '!$K$3:$U$1990,11,FALSE)/100</f>
        <v>1.1000000000000001E-2</v>
      </c>
      <c r="G311" s="214">
        <f>($D311*$E311)/($D$345+$D$369)</f>
        <v>8.3055231411161389E-5</v>
      </c>
    </row>
    <row r="312" spans="1:7">
      <c r="A312" s="211" t="str">
        <f>INDEX('INV500 '!$D$3:$D$402,MATCH(WebPosting!$B312,'INV500 '!$K$3:$K$402,0))</f>
        <v xml:space="preserve">FARMER MAC NOTES              </v>
      </c>
      <c r="B312" s="282">
        <v>17010302</v>
      </c>
      <c r="C312" s="247">
        <f>VLOOKUP(B312,'INV500 '!$K$3:$T$1990,10,FALSE)</f>
        <v>43284</v>
      </c>
      <c r="D312" s="295">
        <f>SUMPRODUCT('INV500 '!$V$3:$V$1990*((WebPosting!B312='INV500 '!$K$3:$K$1990)*1000)*('INV500 '!$O$3:$O$1990&lt;&gt;"M")*('INV500 '!$C$3:$C$1990=89))</f>
        <v>50000000</v>
      </c>
      <c r="E312" s="214">
        <f>VLOOKUP($B312,'INV500 '!$K$3:$U$1990,11,FALSE)/100</f>
        <v>1.1000000000000001E-2</v>
      </c>
      <c r="G312" s="214">
        <f>($D312*$E312)/($D$345+$D$369)</f>
        <v>1.6611046282232278E-4</v>
      </c>
    </row>
    <row r="313" spans="1:7">
      <c r="A313" s="211" t="str">
        <f>INDEX('INV500 '!$D$3:$D$402,MATCH(WebPosting!$B313,'INV500 '!$K$3:$K$402,0))</f>
        <v xml:space="preserve">FARMER MAC NOTES              </v>
      </c>
      <c r="B313" s="405">
        <v>17020102</v>
      </c>
      <c r="C313" s="247">
        <f>VLOOKUP(B313,'INV500 '!$K$3:$T$1990,10,FALSE)</f>
        <v>43313</v>
      </c>
      <c r="D313" s="295">
        <f>SUMPRODUCT('INV500 '!$V$3:$V$1990*((WebPosting!B313='INV500 '!$K$3:$K$1990)*1000)*('INV500 '!$O$3:$O$1990&lt;&gt;"M")*('INV500 '!$C$3:$C$1990=89))</f>
        <v>50000000</v>
      </c>
      <c r="E313" s="214">
        <f>VLOOKUP($B313,'INV500 '!$K$3:$U$1990,11,FALSE)/100</f>
        <v>1.1000000000000001E-2</v>
      </c>
      <c r="G313" s="214">
        <f>($D313*$E313)/($D$345+$D$369)</f>
        <v>1.6611046282232278E-4</v>
      </c>
    </row>
    <row r="314" spans="1:7">
      <c r="A314" s="211" t="str">
        <f>INDEX('INV500 '!$D$3:$D$402,MATCH(WebPosting!$B314,'INV500 '!$K$3:$K$402,0))</f>
        <v xml:space="preserve">FARMER MAC NOTES              </v>
      </c>
      <c r="B314" s="405">
        <v>17020103</v>
      </c>
      <c r="C314" s="247">
        <f>VLOOKUP(B314,'INV500 '!$K$3:$T$1990,10,FALSE)</f>
        <v>43313</v>
      </c>
      <c r="D314" s="295">
        <f>SUMPRODUCT('INV500 '!$V$3:$V$1990*((WebPosting!B314='INV500 '!$K$3:$K$1990)*1000)*('INV500 '!$O$3:$O$1990&lt;&gt;"M")*('INV500 '!$C$3:$C$1990=89))</f>
        <v>25000000</v>
      </c>
      <c r="E314" s="214">
        <f>VLOOKUP($B314,'INV500 '!$K$3:$U$1990,11,FALSE)/100</f>
        <v>1.1200000000000002E-2</v>
      </c>
      <c r="G314" s="214">
        <f>($D314*$E314)/($D$345+$D$369)</f>
        <v>8.4565326527727966E-5</v>
      </c>
    </row>
    <row r="315" spans="1:7">
      <c r="A315" s="211" t="str">
        <f>INDEX('INV500 '!$D$3:$D$402,MATCH(WebPosting!$B315,'INV500 '!$K$3:$K$402,0))</f>
        <v xml:space="preserve">FARMER MAC NOTES              </v>
      </c>
      <c r="B315" s="405">
        <v>17020105</v>
      </c>
      <c r="C315" s="247">
        <f>VLOOKUP(B315,'INV500 '!$K$3:$T$1990,10,FALSE)</f>
        <v>43313</v>
      </c>
      <c r="D315" s="295">
        <f>SUMPRODUCT('INV500 '!$V$3:$V$1990*((WebPosting!B315='INV500 '!$K$3:$K$1990)*1000)*('INV500 '!$O$3:$O$1990&lt;&gt;"M")*('INV500 '!$C$3:$C$1990=89))</f>
        <v>25000000</v>
      </c>
      <c r="E315" s="214">
        <f>VLOOKUP($B315,'INV500 '!$K$3:$U$1990,11,FALSE)/100</f>
        <v>1.1200000000000002E-2</v>
      </c>
      <c r="G315" s="214">
        <f>($D315*$E315)/($D$345+$D$369)</f>
        <v>8.4565326527727966E-5</v>
      </c>
    </row>
    <row r="316" spans="1:7">
      <c r="A316" s="211" t="str">
        <f>INDEX('INV500 '!$D$3:$D$402,MATCH(WebPosting!$B316,'INV500 '!$K$3:$K$402,0))</f>
        <v xml:space="preserve">FARMER MAC NOTES              </v>
      </c>
      <c r="B316" s="409">
        <v>17022712</v>
      </c>
      <c r="C316" s="247">
        <f>VLOOKUP(B316,'INV500 '!$K$3:$T$1990,10,FALSE)</f>
        <v>43339</v>
      </c>
      <c r="D316" s="295">
        <f>SUMPRODUCT('INV500 '!$V$3:$V$1990*((WebPosting!B316='INV500 '!$K$3:$K$1990)*1000)*('INV500 '!$O$3:$O$1990&lt;&gt;"M")*('INV500 '!$C$3:$C$1990=89))</f>
        <v>25000000</v>
      </c>
      <c r="E316" s="214">
        <f>VLOOKUP($B316,'INV500 '!$K$3:$U$1990,11,FALSE)/100</f>
        <v>1.125E-2</v>
      </c>
      <c r="G316" s="214">
        <f>($D316*$E316)/($D$345+$D$369)</f>
        <v>8.4942850306869594E-5</v>
      </c>
    </row>
    <row r="317" spans="1:7">
      <c r="A317" s="211" t="str">
        <f>INDEX('INV500 '!$D$3:$D$402,MATCH(WebPosting!$B317,'INV500 '!$K$3:$K$402,0))</f>
        <v xml:space="preserve">FARMER MAC NOTES              </v>
      </c>
      <c r="B317" s="282">
        <v>17010301</v>
      </c>
      <c r="C317" s="247">
        <f>VLOOKUP(B317,'INV500 '!$K$3:$T$1990,10,FALSE)</f>
        <v>43374</v>
      </c>
      <c r="D317" s="295">
        <f>SUMPRODUCT('INV500 '!$V$3:$V$1990*((WebPosting!B317='INV500 '!$K$3:$K$1990)*1000)*('INV500 '!$O$3:$O$1990&lt;&gt;"M")*('INV500 '!$C$3:$C$1990=89))</f>
        <v>25000000</v>
      </c>
      <c r="E317" s="214">
        <f>VLOOKUP($B317,'INV500 '!$K$3:$U$1990,11,FALSE)/100</f>
        <v>1.15E-2</v>
      </c>
      <c r="G317" s="214">
        <f>($D317*$E317)/($D$345+$D$369)</f>
        <v>8.6830469202577813E-5</v>
      </c>
    </row>
    <row r="318" spans="1:7">
      <c r="A318" s="211" t="str">
        <f>INDEX('INV500 '!$D$3:$D$402,MATCH(WebPosting!$B318,'INV500 '!$K$3:$K$402,0))</f>
        <v xml:space="preserve">FARMER MAC NOTES              </v>
      </c>
      <c r="B318" s="405">
        <v>17020208</v>
      </c>
      <c r="C318" s="247">
        <f>VLOOKUP(B318,'INV500 '!$K$3:$T$1990,10,FALSE)</f>
        <v>43406</v>
      </c>
      <c r="D318" s="295">
        <f>SUMPRODUCT('INV500 '!$V$3:$V$1990*((WebPosting!B318='INV500 '!$K$3:$K$1990)*1000)*('INV500 '!$O$3:$O$1990&lt;&gt;"M")*('INV500 '!$C$3:$C$1990=89))</f>
        <v>20000000</v>
      </c>
      <c r="E318" s="214">
        <f>VLOOKUP($B318,'INV500 '!$K$3:$U$1990,11,FALSE)/100</f>
        <v>1.2E-2</v>
      </c>
      <c r="G318" s="214">
        <f>($D318*$E318)/($D$345+$D$369)</f>
        <v>7.2484565595195386E-5</v>
      </c>
    </row>
    <row r="319" spans="1:7">
      <c r="A319" s="211" t="str">
        <f>INDEX('INV500 '!$D$3:$D$402,MATCH(WebPosting!$B319,'INV500 '!$K$3:$K$402,0))</f>
        <v xml:space="preserve">FARMER MAC NOTES              </v>
      </c>
      <c r="B319" s="407">
        <v>17020613</v>
      </c>
      <c r="C319" s="247">
        <f>VLOOKUP(B319,'INV500 '!$K$3:$T$1990,10,FALSE)</f>
        <v>43410</v>
      </c>
      <c r="D319" s="295">
        <f>SUMPRODUCT('INV500 '!$V$3:$V$1990*((WebPosting!B319='INV500 '!$K$3:$K$1990)*1000)*('INV500 '!$O$3:$O$1990&lt;&gt;"M")*('INV500 '!$C$3:$C$1990=89))</f>
        <v>25000000</v>
      </c>
      <c r="E319" s="214">
        <f>VLOOKUP($B319,'INV500 '!$K$3:$U$1990,11,FALSE)/100</f>
        <v>1.2E-2</v>
      </c>
      <c r="G319" s="214">
        <f>($D319*$E319)/($D$345+$D$369)</f>
        <v>9.0605706993994236E-5</v>
      </c>
    </row>
    <row r="320" spans="1:7">
      <c r="A320" s="211" t="str">
        <f>INDEX('INV500 '!$D$3:$D$402,MATCH(WebPosting!$B320,'INV500 '!$K$3:$K$402,0))</f>
        <v xml:space="preserve">FARMER MAC NOTES              </v>
      </c>
      <c r="B320" s="260">
        <v>14032808</v>
      </c>
      <c r="C320" s="247">
        <f>VLOOKUP(B320,'INV500 '!$K$3:$T$1990,10,FALSE)</f>
        <v>43524</v>
      </c>
      <c r="D320" s="295">
        <f>SUMPRODUCT('INV500 '!$V$3:$V$1990*((WebPosting!B320='INV500 '!$K$3:$K$1990)*1000)*('INV500 '!$O$3:$O$1990&lt;&gt;"M")*('INV500 '!$C$3:$C$1990=89))</f>
        <v>25000000</v>
      </c>
      <c r="E320" s="214">
        <f>VLOOKUP($B320,'INV500 '!$K$3:$U$1990,11,FALSE)/100</f>
        <v>1.7000000000000001E-2</v>
      </c>
      <c r="G320" s="214">
        <f>($D320*$E320)/($D$345+$D$369)</f>
        <v>1.2835808490815851E-4</v>
      </c>
    </row>
    <row r="321" spans="1:7">
      <c r="A321" s="211" t="str">
        <f>INDEX('INV500 '!$D$3:$D$402,MATCH(WebPosting!$B321,'INV500 '!$K$3:$K$402,0))</f>
        <v xml:space="preserve">FARMER MAC NOTES              </v>
      </c>
      <c r="B321" s="400">
        <v>17030103</v>
      </c>
      <c r="C321" s="247">
        <f>VLOOKUP(B321,'INV500 '!$K$3:$T$1990,10,FALSE)</f>
        <v>43525</v>
      </c>
      <c r="D321" s="295">
        <f>SUMPRODUCT('INV500 '!$V$3:$V$1990*((WebPosting!B321='INV500 '!$K$3:$K$1990)*1000)*('INV500 '!$O$3:$O$1990&lt;&gt;"M")*('INV500 '!$C$3:$C$1990=89))</f>
        <v>15000000</v>
      </c>
      <c r="E321" s="214">
        <f>VLOOKUP($B321,'INV500 '!$K$3:$U$1990,11,FALSE)/100</f>
        <v>1.34E-2</v>
      </c>
      <c r="G321" s="214">
        <f>($D321*$E321)/($D$345+$D$369)</f>
        <v>6.0705823685976138E-5</v>
      </c>
    </row>
    <row r="322" spans="1:7">
      <c r="A322" s="211" t="str">
        <f>INDEX('INV500 '!$D$3:$D$402,MATCH(WebPosting!$B322,'INV500 '!$K$3:$K$402,0))</f>
        <v xml:space="preserve">FARMER MAC NOTES              </v>
      </c>
      <c r="B322" s="408">
        <v>17022201</v>
      </c>
      <c r="C322" s="247">
        <f>VLOOKUP(B322,'INV500 '!$K$3:$T$1990,10,FALSE)</f>
        <v>43607</v>
      </c>
      <c r="D322" s="295">
        <f>SUMPRODUCT('INV500 '!$V$3:$V$1990*((WebPosting!B322='INV500 '!$K$3:$K$1990)*1000)*('INV500 '!$O$3:$O$1990&lt;&gt;"M")*('INV500 '!$C$3:$C$1990=89))</f>
        <v>25000000</v>
      </c>
      <c r="E322" s="214">
        <f>VLOOKUP($B322,'INV500 '!$K$3:$U$1990,11,FALSE)/100</f>
        <v>1.47E-2</v>
      </c>
      <c r="G322" s="214">
        <f>($D322*$E322)/($D$345+$D$369)</f>
        <v>1.1099199106764293E-4</v>
      </c>
    </row>
    <row r="323" spans="1:7">
      <c r="A323" s="211" t="str">
        <f>INDEX('INV500 '!$D$3:$D$402,MATCH(WebPosting!$B323,'INV500 '!$K$3:$K$402,0))</f>
        <v xml:space="preserve">FARMER MAC NOTES              </v>
      </c>
      <c r="B323" s="399">
        <v>17032309</v>
      </c>
      <c r="C323" s="247">
        <f>VLOOKUP(B323,'INV500 '!$K$3:$T$1990,10,FALSE)</f>
        <v>43641</v>
      </c>
      <c r="D323" s="295">
        <f>SUMPRODUCT('INV500 '!$V$3:$V$1990*((WebPosting!B323='INV500 '!$K$3:$K$1990)*1000)*('INV500 '!$O$3:$O$1990&lt;&gt;"M")*('INV500 '!$C$3:$C$1990=89))</f>
        <v>25000000</v>
      </c>
      <c r="E323" s="214">
        <f>VLOOKUP($B323,'INV500 '!$K$3:$U$1990,11,FALSE)/100</f>
        <v>1.5700000000000002E-2</v>
      </c>
      <c r="G323" s="214">
        <f>($D323*$E323)/($D$345+$D$369)</f>
        <v>1.1854246665047581E-4</v>
      </c>
    </row>
    <row r="324" spans="1:7">
      <c r="A324" s="211" t="str">
        <f>INDEX('INV500 '!$D$3:$D$402,MATCH(WebPosting!$B324,'INV500 '!$K$3:$K$402,0))</f>
        <v xml:space="preserve">FARMER MAC NOTES              </v>
      </c>
      <c r="B324" s="407">
        <v>17020909</v>
      </c>
      <c r="C324" s="247">
        <f>VLOOKUP(B324,'INV500 '!$K$3:$T$1990,10,FALSE)</f>
        <v>43686</v>
      </c>
      <c r="D324" s="295">
        <f>SUMPRODUCT('INV500 '!$V$3:$V$1990*((WebPosting!B324='INV500 '!$K$3:$K$1990)*1000)*('INV500 '!$O$3:$O$1990&lt;&gt;"M")*('INV500 '!$C$3:$C$1990=89))</f>
        <v>25000000</v>
      </c>
      <c r="E324" s="214">
        <f>VLOOKUP($B324,'INV500 '!$K$3:$U$1990,11,FALSE)/100</f>
        <v>1.4499999999999999E-2</v>
      </c>
      <c r="G324" s="214">
        <f>($D324*$E324)/($D$345+$D$369)</f>
        <v>1.0948189595107637E-4</v>
      </c>
    </row>
    <row r="325" spans="1:7">
      <c r="A325" s="211" t="str">
        <f>INDEX('INV500 '!$D$3:$D$402,MATCH(WebPosting!$B325,'INV500 '!$K$3:$K$402,0))</f>
        <v xml:space="preserve">FARMER MAC NOTES              </v>
      </c>
      <c r="B325" s="328">
        <v>15031217</v>
      </c>
      <c r="C325" s="247">
        <f>VLOOKUP(B325,'INV500 '!$K$3:$T$1990,10,FALSE)</f>
        <v>43691</v>
      </c>
      <c r="D325" s="295">
        <f>SUMPRODUCT('INV500 '!$V$3:$V$1990*((WebPosting!B325='INV500 '!$K$3:$K$1990)*1000)*('INV500 '!$O$3:$O$1990&lt;&gt;"M")*('INV500 '!$C$3:$C$1990=89))</f>
        <v>14000000</v>
      </c>
      <c r="E325" s="214">
        <f>VLOOKUP($B325,'INV500 '!$K$3:$U$1990,11,FALSE)/100</f>
        <v>1.8100000000000002E-2</v>
      </c>
      <c r="G325" s="214">
        <f>($D325*$E325)/($D$345+$D$369)</f>
        <v>7.653162050759381E-5</v>
      </c>
    </row>
    <row r="326" spans="1:7">
      <c r="A326" s="211" t="str">
        <f>INDEX('INV500 '!$D$3:$D$402,MATCH(WebPosting!$B326,'INV500 '!$K$3:$K$402,0))</f>
        <v xml:space="preserve">FARMER MAC NOTES              </v>
      </c>
      <c r="B326" s="399">
        <v>17032310</v>
      </c>
      <c r="C326" s="247">
        <f>VLOOKUP(B326,'INV500 '!$K$3:$T$1990,10,FALSE)</f>
        <v>43731</v>
      </c>
      <c r="D326" s="295">
        <f>SUMPRODUCT('INV500 '!$V$3:$V$1990*((WebPosting!B326='INV500 '!$K$3:$K$1990)*1000)*('INV500 '!$O$3:$O$1990&lt;&gt;"M")*('INV500 '!$C$3:$C$1990=89))</f>
        <v>25000000</v>
      </c>
      <c r="E326" s="214">
        <f>VLOOKUP($B326,'INV500 '!$K$3:$U$1990,11,FALSE)/100</f>
        <v>1.67E-2</v>
      </c>
      <c r="G326" s="214">
        <f>($D326*$E326)/($D$345+$D$369)</f>
        <v>1.2609294223330864E-4</v>
      </c>
    </row>
    <row r="327" spans="1:7">
      <c r="A327" s="211" t="str">
        <f>INDEX('INV500 '!$D$3:$D$402,MATCH(WebPosting!$B327,'INV500 '!$K$3:$K$402,0))</f>
        <v xml:space="preserve">FARMER MAC NOTES              </v>
      </c>
      <c r="B327" s="408">
        <v>17022202</v>
      </c>
      <c r="C327" s="247">
        <f>VLOOKUP(B327,'INV500 '!$K$3:$T$1990,10,FALSE)</f>
        <v>43791</v>
      </c>
      <c r="D327" s="295">
        <f>SUMPRODUCT('INV500 '!$V$3:$V$1990*((WebPosting!B327='INV500 '!$K$3:$K$1990)*1000)*('INV500 '!$O$3:$O$1990&lt;&gt;"M")*('INV500 '!$C$3:$C$1990=89))</f>
        <v>25000000</v>
      </c>
      <c r="E327" s="214">
        <f>VLOOKUP($B327,'INV500 '!$K$3:$U$1990,11,FALSE)/100</f>
        <v>1.6200000000000003E-2</v>
      </c>
      <c r="G327" s="214">
        <f>($D327*$E327)/($D$345+$D$369)</f>
        <v>1.2231770444189223E-4</v>
      </c>
    </row>
    <row r="328" spans="1:7">
      <c r="A328" s="211" t="str">
        <f>INDEX('INV500 '!$D$3:$D$402,MATCH(WebPosting!$B328,'INV500 '!$K$3:$K$402,0))</f>
        <v xml:space="preserve">FARMER MAC NOTES              </v>
      </c>
      <c r="B328" s="327">
        <v>14121114</v>
      </c>
      <c r="C328" s="247">
        <f>VLOOKUP(B328,'INV500 '!$K$3:$T$1990,10,FALSE)</f>
        <v>43810</v>
      </c>
      <c r="D328" s="295">
        <f>SUMPRODUCT('INV500 '!$V$3:$V$1990*((WebPosting!B328='INV500 '!$K$3:$K$1990)*1000)*('INV500 '!$O$3:$O$1990&lt;&gt;"M")*('INV500 '!$C$3:$C$1990=89))</f>
        <v>11000000</v>
      </c>
      <c r="E328" s="214">
        <f>VLOOKUP($B328,'INV500 '!$K$3:$U$1990,11,FALSE)/100</f>
        <v>1.84E-2</v>
      </c>
      <c r="G328" s="214">
        <f>($D328*$E328)/($D$345+$D$369)</f>
        <v>6.1128650318614783E-5</v>
      </c>
    </row>
    <row r="329" spans="1:7">
      <c r="A329" s="211" t="str">
        <f>INDEX('INV500 '!$D$3:$D$402,MATCH(WebPosting!$B329,'INV500 '!$K$3:$K$402,0))</f>
        <v xml:space="preserve">FARMER MAC DISCOUNT NOTES     </v>
      </c>
      <c r="B329" s="302">
        <v>16112101</v>
      </c>
      <c r="C329" s="247">
        <f>VLOOKUP(B329,'INV500 '!$K$3:$T$1990,10,FALSE)</f>
        <v>43039</v>
      </c>
      <c r="D329" s="295">
        <f>SUMPRODUCT('INV500 '!$V$3:$V$1990*((WebPosting!B329='INV500 '!$K$3:$K$1990)*1000)*('INV500 '!$O$3:$O$1990&lt;&gt;"M")*('INV500 '!$C$3:$C$1990=69))</f>
        <v>25000000</v>
      </c>
      <c r="E329" s="214">
        <f>VLOOKUP($B329,'INV500 '!$K$3:$U$1990,11,FALSE)/100</f>
        <v>8.0000000000000002E-3</v>
      </c>
      <c r="G329" s="214">
        <f>($D329*$E329)/($D$345+$D$369)</f>
        <v>6.0403804662662826E-5</v>
      </c>
    </row>
    <row r="330" spans="1:7">
      <c r="A330" s="211" t="str">
        <f>INDEX('INV500 '!$D$3:$D$402,MATCH(WebPosting!$B330,'INV500 '!$K$3:$K$402,0))</f>
        <v xml:space="preserve">FARMER MAC DISCOUNT NOTES     </v>
      </c>
      <c r="B330" s="326">
        <v>16110215</v>
      </c>
      <c r="C330" s="247">
        <f>VLOOKUP(B330,'INV500 '!$K$3:$T$1990,10,FALSE)</f>
        <v>43040</v>
      </c>
      <c r="D330" s="295">
        <f>SUMPRODUCT('INV500 '!$V$3:$V$1990*((WebPosting!B330='INV500 '!$K$3:$K$1990)*1000)*('INV500 '!$O$3:$O$1990&lt;&gt;"M")*('INV500 '!$C$3:$C$1990=69))</f>
        <v>25000000</v>
      </c>
      <c r="E330" s="214">
        <f>VLOOKUP($B330,'INV500 '!$K$3:$U$1990,11,FALSE)/100</f>
        <v>7.3000000000000001E-3</v>
      </c>
      <c r="G330" s="214">
        <f>($D330*$E330)/($D$345+$D$369)</f>
        <v>5.5118471754679825E-5</v>
      </c>
    </row>
    <row r="331" spans="1:7">
      <c r="A331" s="211" t="str">
        <f>INDEX('INV500 '!$D$3:$D$402,MATCH(WebPosting!$B331,'INV500 '!$K$3:$K$402,0))</f>
        <v xml:space="preserve">FARMER MAC DISCOUNT NOTES     </v>
      </c>
      <c r="B331" s="304">
        <v>16111511</v>
      </c>
      <c r="C331" s="247">
        <f>VLOOKUP(B331,'INV500 '!$K$3:$T$1990,10,FALSE)</f>
        <v>43053</v>
      </c>
      <c r="D331" s="295">
        <f>SUMPRODUCT('INV500 '!$V$3:$V$1990*((WebPosting!B331='INV500 '!$K$3:$K$1990)*1000)*('INV500 '!$O$3:$O$1990&lt;&gt;"M")*('INV500 '!$C$3:$C$1990=69))</f>
        <v>50000000</v>
      </c>
      <c r="E331" s="214">
        <f>VLOOKUP($B331,'INV500 '!$K$3:$U$1990,11,FALSE)/100</f>
        <v>8.1000000000000013E-3</v>
      </c>
      <c r="G331" s="214">
        <f>($D331*$E331)/($D$345+$D$369)</f>
        <v>1.2231770444189223E-4</v>
      </c>
    </row>
    <row r="332" spans="1:7">
      <c r="A332" s="211" t="str">
        <f>INDEX('INV500 '!$D$3:$D$402,MATCH(WebPosting!$B332,'INV500 '!$K$3:$K$402,0))</f>
        <v xml:space="preserve">FARMER MAC DISCOUNT NOTES     </v>
      </c>
      <c r="B332" s="282">
        <v>17010509</v>
      </c>
      <c r="C332" s="247">
        <f>VLOOKUP(B332,'INV500 '!$K$3:$T$1990,10,FALSE)</f>
        <v>43102</v>
      </c>
      <c r="D332" s="295">
        <f>SUMPRODUCT('INV500 '!$V$3:$V$1990*((WebPosting!B332='INV500 '!$K$3:$K$1990)*1000)*('INV500 '!$O$3:$O$1990&lt;&gt;"M")*('INV500 '!$C$3:$C$1990=69))</f>
        <v>21000000</v>
      </c>
      <c r="E332" s="214">
        <f>VLOOKUP($B332,'INV500 '!$K$3:$U$1990,11,FALSE)/100</f>
        <v>9.3999999999999986E-3</v>
      </c>
      <c r="G332" s="214">
        <f>($D332*$E332)/($D$345+$D$369)</f>
        <v>5.9618555202048199E-5</v>
      </c>
    </row>
    <row r="333" spans="1:7">
      <c r="A333" s="235" t="str">
        <f>INDEX('INV500 '!$D$3:$D$402,MATCH(WebPosting!$B333,'INV500 '!$K$3:$K$402,0))</f>
        <v xml:space="preserve">FNMA ARM MBS                  </v>
      </c>
      <c r="B333" s="217">
        <v>95012323</v>
      </c>
      <c r="C333" s="247">
        <f>VLOOKUP(B333,'INV500 '!$K$3:$T$1990,10,FALSE)</f>
        <v>43800</v>
      </c>
      <c r="D333" s="279">
        <f>SUMPRODUCT('INV500 '!$W$3:$W$1990*((WebPosting!B333='INV500 '!$K$3:$K$1990))*('INV500 '!$O$3:$O$1990&lt;&gt;"M")*('INV500 '!$C$3:$C$1990=91))</f>
        <v>5150.07</v>
      </c>
      <c r="E333" s="214">
        <f>VLOOKUP($B333,'INV500 '!$K$3:$U$1990,11,FALSE)/100</f>
        <v>5.4619999999999995E-2</v>
      </c>
      <c r="G333" s="214">
        <f>($D333*$E333)/($D$345+$D$369)</f>
        <v>8.4956991864405783E-8</v>
      </c>
    </row>
    <row r="334" spans="1:7">
      <c r="A334" s="235" t="str">
        <f>INDEX('INV500 '!$D$3:$D$402,MATCH(WebPosting!$B334,'INV500 '!$K$3:$K$402,0))</f>
        <v xml:space="preserve">FNMA ARM MBS                  </v>
      </c>
      <c r="B334" s="217">
        <v>95012318</v>
      </c>
      <c r="C334" s="247">
        <f>VLOOKUP(B334,'INV500 '!$K$3:$T$1990,10,FALSE)</f>
        <v>43983</v>
      </c>
      <c r="D334" s="279">
        <f>SUMPRODUCT('INV500 '!$W$3:$W$1990*((WebPosting!B334='INV500 '!$K$3:$K$1990))*('INV500 '!$O$3:$O$1990&lt;&gt;"M")*('INV500 '!$C$3:$C$1990=91))</f>
        <v>753.34</v>
      </c>
      <c r="E334" s="214">
        <f>VLOOKUP($B334,'INV500 '!$K$3:$U$1990,11,FALSE)/100</f>
        <v>5.135E-2</v>
      </c>
      <c r="G334" s="214">
        <f>($D334*$E334)/($D$345+$D$369)</f>
        <v>1.1683306616023454E-8</v>
      </c>
    </row>
    <row r="335" spans="1:7">
      <c r="A335" s="235" t="str">
        <f>INDEX('INV500 '!$D$3:$D$402,MATCH(WebPosting!$B335,'INV500 '!$K$3:$K$402,0))</f>
        <v xml:space="preserve">FNMA ARM MBS                  </v>
      </c>
      <c r="B335" s="217">
        <v>95012322</v>
      </c>
      <c r="C335" s="247">
        <f>VLOOKUP(B335,'INV500 '!$K$3:$T$1990,10,FALSE)</f>
        <v>44136</v>
      </c>
      <c r="D335" s="279">
        <f>SUMPRODUCT('INV500 '!$W$3:$W$1990*((WebPosting!B335='INV500 '!$K$3:$K$1990))*('INV500 '!$O$3:$O$1990&lt;&gt;"M")*('INV500 '!$C$3:$C$1990=91))</f>
        <v>3781.01</v>
      </c>
      <c r="E335" s="214">
        <f>VLOOKUP($B335,'INV500 '!$K$3:$U$1990,11,FALSE)/100</f>
        <v>5.9660000000000005E-2</v>
      </c>
      <c r="G335" s="214">
        <f>($D335*$E335)/($D$345+$D$369)</f>
        <v>6.8127958278177564E-8</v>
      </c>
    </row>
    <row r="336" spans="1:7">
      <c r="A336" s="235" t="str">
        <f>INDEX('INV500 '!$D$3:$D$402,MATCH(WebPosting!$B336,'INV500 '!$K$3:$K$402,0))</f>
        <v xml:space="preserve">FNMA ARM MBS                  </v>
      </c>
      <c r="B336" s="217">
        <v>95012317</v>
      </c>
      <c r="C336" s="247">
        <f>VLOOKUP(B336,'INV500 '!$K$3:$T$1990,10,FALSE)</f>
        <v>44743</v>
      </c>
      <c r="D336" s="279">
        <f>SUMPRODUCT('INV500 '!$W$3:$W$1990*((WebPosting!B336='INV500 '!$K$3:$K$1990))*('INV500 '!$O$3:$O$1990&lt;&gt;"M")*('INV500 '!$C$3:$C$1990=91))</f>
        <v>10040.290000000001</v>
      </c>
      <c r="E336" s="214">
        <f>VLOOKUP($B336,'INV500 '!$K$3:$U$1990,11,FALSE)/100</f>
        <v>5.6299999999999996E-2</v>
      </c>
      <c r="G336" s="214">
        <f>($D336*$E336)/($D$345+$D$369)</f>
        <v>1.7072178803049108E-7</v>
      </c>
    </row>
    <row r="337" spans="1:7">
      <c r="A337" s="235" t="str">
        <f>INDEX('INV500 '!$D$3:$D$402,MATCH(WebPosting!$B337,'INV500 '!$K$3:$K$402,0))</f>
        <v xml:space="preserve">FNMA ARM MBS                  </v>
      </c>
      <c r="B337" s="217">
        <v>95012325</v>
      </c>
      <c r="C337" s="247">
        <f>VLOOKUP(B337,'INV500 '!$K$3:$T$1990,10,FALSE)</f>
        <v>44835</v>
      </c>
      <c r="D337" s="279">
        <f>SUMPRODUCT('INV500 '!$W$3:$W$1990*((WebPosting!B337='INV500 '!$K$3:$K$1990))*('INV500 '!$O$3:$O$1990&lt;&gt;"M")*('INV500 '!$C$3:$C$1990=91))</f>
        <v>5398.36</v>
      </c>
      <c r="E337" s="214">
        <f>VLOOKUP($B337,'INV500 '!$K$3:$U$1990,11,FALSE)/100</f>
        <v>4.8209999999999996E-2</v>
      </c>
      <c r="G337" s="214">
        <f>($D337*$E337)/($D$345+$D$369)</f>
        <v>7.8601941462381445E-8</v>
      </c>
    </row>
    <row r="338" spans="1:7">
      <c r="A338" s="235" t="str">
        <f>INDEX('INV500 '!$D$3:$D$402,MATCH(WebPosting!$B338,'INV500 '!$K$3:$K$402,0))</f>
        <v xml:space="preserve">FNMA ARM MBS                  </v>
      </c>
      <c r="B338" s="217">
        <v>95012321</v>
      </c>
      <c r="C338" s="247">
        <f>VLOOKUP(B338,'INV500 '!$K$3:$T$1990,10,FALSE)</f>
        <v>44866</v>
      </c>
      <c r="D338" s="279">
        <f>SUMPRODUCT('INV500 '!$W$3:$W$1990*((WebPosting!B338='INV500 '!$K$3:$K$1990))*('INV500 '!$O$3:$O$1990&lt;&gt;"M")*('INV500 '!$C$3:$C$1990=91))</f>
        <v>13869.97</v>
      </c>
      <c r="E338" s="214">
        <f>VLOOKUP($B338,'INV500 '!$K$3:$U$1990,11,FALSE)/100</f>
        <v>5.3849999999999995E-2</v>
      </c>
      <c r="G338" s="214">
        <f>($D338*$E338)/($D$345+$D$369)</f>
        <v>2.2557736959147048E-7</v>
      </c>
    </row>
    <row r="339" spans="1:7">
      <c r="A339" s="235" t="str">
        <f>INDEX('INV500 '!$D$3:$D$402,MATCH(WebPosting!$B339,'INV500 '!$K$3:$K$402,0))</f>
        <v xml:space="preserve">FHLMC ARM MBS                 </v>
      </c>
      <c r="B339" s="217">
        <v>95011708</v>
      </c>
      <c r="C339" s="247">
        <f>VLOOKUP(B339,'INV500 '!$K$3:$T$1990,10,FALSE)</f>
        <v>43132</v>
      </c>
      <c r="D339" s="279">
        <f>SUMPRODUCT('INV500 '!$W$3:$W$1990*((WebPosting!B339='INV500 '!$K$3:$K$1990))*('INV500 '!$O$3:$O$1990&lt;&gt;"M")*('INV500 '!$C$3:$C$1990=92))</f>
        <v>2483.75</v>
      </c>
      <c r="E339" s="214">
        <f>VLOOKUP($B339,'INV500 '!$K$3:$U$1990,11,FALSE)/100</f>
        <v>7.4999999999999997E-2</v>
      </c>
      <c r="G339" s="214">
        <f>($D339*$E339)/($D$345+$D$369)</f>
        <v>5.6260481186583293E-8</v>
      </c>
    </row>
    <row r="340" spans="1:7">
      <c r="A340" s="235" t="str">
        <f>INDEX('INV500 '!$D$3:$D$402,MATCH(WebPosting!$B340,'INV500 '!$K$3:$K$402,0))</f>
        <v xml:space="preserve">FHLMC ARM MBS                 </v>
      </c>
      <c r="B340" s="217">
        <v>95011706</v>
      </c>
      <c r="C340" s="247">
        <f>VLOOKUP(B340,'INV500 '!$K$3:$T$1990,10,FALSE)</f>
        <v>43525</v>
      </c>
      <c r="D340" s="279">
        <f>SUMPRODUCT('INV500 '!$W$3:$W$1990*((WebPosting!B340='INV500 '!$K$3:$K$1990))*('INV500 '!$O$3:$O$1990&lt;&gt;"M")*('INV500 '!$C$3:$C$1990=92))</f>
        <v>607.21</v>
      </c>
      <c r="E340" s="214">
        <f>VLOOKUP($B340,'INV500 '!$K$3:$U$1990,11,FALSE)/100</f>
        <v>7.6509999999999995E-2</v>
      </c>
      <c r="G340" s="214">
        <f>($D340*$E340)/($D$345+$D$369)</f>
        <v>1.4031090182386387E-8</v>
      </c>
    </row>
    <row r="341" spans="1:7">
      <c r="A341" s="235" t="str">
        <f>INDEX('INV500 '!$D$3:$D$402,MATCH(WebPosting!$B341,'INV500 '!$K$3:$K$402,0))</f>
        <v xml:space="preserve">FHLMC ARM MBS                 </v>
      </c>
      <c r="B341" s="217">
        <v>7113009</v>
      </c>
      <c r="C341" s="247">
        <f>VLOOKUP(B341,'INV500 '!$K$3:$T$1990,10,FALSE)</f>
        <v>43617</v>
      </c>
      <c r="D341" s="279">
        <f>SUMPRODUCT('INV500 '!$W$3:$W$1990*((WebPosting!B341='INV500 '!$K$3:$K$1990))*('INV500 '!$O$3:$O$1990&lt;&gt;"M")*('INV500 '!$C$3:$C$1990=92))</f>
        <v>1812.29</v>
      </c>
      <c r="E341" s="214">
        <f>VLOOKUP($B341,'INV500 '!$K$3:$U$1990,11,FALSE)/100</f>
        <v>6.8329600000000004E-2</v>
      </c>
      <c r="G341" s="214">
        <f>($D341*$E341)/($D$345+$D$369)</f>
        <v>3.7399937051691708E-8</v>
      </c>
    </row>
    <row r="342" spans="1:7">
      <c r="A342" s="235" t="str">
        <f>INDEX('INV500 '!$D$3:$D$402,MATCH(WebPosting!$B342,'INV500 '!$K$3:$K$402,0))</f>
        <v xml:space="preserve">FHLMC ARM MBS                 </v>
      </c>
      <c r="B342" s="217">
        <v>95011711</v>
      </c>
      <c r="C342" s="247">
        <f>VLOOKUP(B342,'INV500 '!$K$3:$T$1990,10,FALSE)</f>
        <v>44531</v>
      </c>
      <c r="D342" s="279">
        <f>SUMPRODUCT('INV500 '!$W$3:$W$1990*((WebPosting!B342='INV500 '!$K$3:$K$1990))*('INV500 '!$O$3:$O$1990&lt;&gt;"M")*('INV500 '!$C$3:$C$1990=92))</f>
        <v>5204.66</v>
      </c>
      <c r="E342" s="214">
        <f>VLOOKUP($B342,'INV500 '!$K$3:$U$1990,11,FALSE)/100</f>
        <v>5.4710000000000002E-2</v>
      </c>
      <c r="G342" s="214">
        <f>($D342*$E342)/($D$345+$D$369)</f>
        <v>8.5998995307618461E-8</v>
      </c>
    </row>
    <row r="343" spans="1:7">
      <c r="A343" s="235" t="str">
        <f>INDEX('INV500 '!$D$3:$D$402,MATCH(WebPosting!$B343,'INV500 '!$K$3:$K$402,0))</f>
        <v xml:space="preserve">FHLMC ARM MBS                 </v>
      </c>
      <c r="B343" s="217">
        <v>95011703</v>
      </c>
      <c r="C343" s="247">
        <f>VLOOKUP(B343,'INV500 '!$K$3:$T$1990,10,FALSE)</f>
        <v>44562</v>
      </c>
      <c r="D343" s="279">
        <f>SUMPRODUCT('INV500 '!$W$3:$W$1990*((WebPosting!B343='INV500 '!$K$3:$K$1990))*('INV500 '!$O$3:$O$1990&lt;&gt;"M")*('INV500 '!$C$3:$C$1990=92))</f>
        <v>610.52</v>
      </c>
      <c r="E343" s="214">
        <f>VLOOKUP($B343,'INV500 '!$K$3:$U$1990,11,FALSE)/100</f>
        <v>7.3510000000000006E-2</v>
      </c>
      <c r="G343" s="214">
        <f>($D343*$E343)/($D$345+$D$369)</f>
        <v>1.3554409963864607E-8</v>
      </c>
    </row>
    <row r="344" spans="1:7" ht="8.25" customHeight="1">
      <c r="A344" s="235"/>
      <c r="C344" s="247"/>
      <c r="D344" s="285"/>
      <c r="G344" s="214">
        <f>($D344*$E344)/($D$345+$D$369)</f>
        <v>0</v>
      </c>
    </row>
    <row r="345" spans="1:7" ht="15.75" customHeight="1">
      <c r="A345" s="277" t="s">
        <v>281</v>
      </c>
      <c r="C345" s="247"/>
      <c r="D345" s="306">
        <f>SUM(D225:D344)</f>
        <v>2636049711.4700003</v>
      </c>
    </row>
    <row r="346" spans="1:7">
      <c r="A346" s="277"/>
      <c r="C346" s="247"/>
      <c r="D346" s="306"/>
    </row>
    <row r="347" spans="1:7">
      <c r="C347" s="247"/>
      <c r="D347" s="306"/>
    </row>
    <row r="348" spans="1:7" ht="18">
      <c r="A348" s="436" t="s">
        <v>280</v>
      </c>
      <c r="B348" s="436"/>
      <c r="C348" s="436"/>
      <c r="D348" s="436"/>
      <c r="E348" s="436"/>
      <c r="F348" s="274"/>
      <c r="G348" s="274"/>
    </row>
    <row r="349" spans="1:7">
      <c r="A349" s="273" t="s">
        <v>258</v>
      </c>
      <c r="B349" s="272"/>
      <c r="C349" s="300" t="s">
        <v>267</v>
      </c>
      <c r="D349" s="270" t="s">
        <v>257</v>
      </c>
      <c r="E349" s="299" t="s">
        <v>266</v>
      </c>
      <c r="F349" s="268" t="s">
        <v>279</v>
      </c>
      <c r="G349" s="317" t="e">
        <f>SUM(G350:G367)</f>
        <v>#N/A</v>
      </c>
    </row>
    <row r="350" spans="1:7" hidden="1">
      <c r="A350" s="319" t="e">
        <f>INDEX('INV500 '!$D$3:$D$402,MATCH(WebPosting!$B350,'INV500 '!$K$3:$K$402,0))</f>
        <v>#N/A</v>
      </c>
      <c r="B350" s="310">
        <v>16080913</v>
      </c>
      <c r="C350" s="247" t="e">
        <f>VLOOKUP(B350,'INV500 '!$K$3:$T$1990,10,FALSE)</f>
        <v>#N/A</v>
      </c>
      <c r="D350" s="295">
        <f>SUMPRODUCT('INV500 '!$V$3:$V$1990*((WebPosting!B350='INV500 '!$K$3:$K$1990))*('INV500 '!$O$3:$O$1990&lt;&gt;"M")*('INV500 '!$C$3:$C$1990=65))*1000</f>
        <v>0</v>
      </c>
      <c r="E350" s="214" t="e">
        <f>VLOOKUP($B350,'INV500 '!$K$3:$U$1990,11,FALSE)/100</f>
        <v>#N/A</v>
      </c>
      <c r="G350" s="214" t="e">
        <f>($D350*$E350)/($D$345+$D$369)</f>
        <v>#N/A</v>
      </c>
    </row>
    <row r="351" spans="1:7">
      <c r="A351" s="319" t="str">
        <f>INDEX('INV500 '!$D$3:$D$402,MATCH(WebPosting!$B351,'INV500 '!$K$3:$K$402,0))</f>
        <v xml:space="preserve">FHLMC DISCOUNT NOTES          </v>
      </c>
      <c r="B351" s="310">
        <v>16081015</v>
      </c>
      <c r="C351" s="247">
        <f>VLOOKUP(B351,'INV500 '!$K$3:$T$1990,10,FALSE)</f>
        <v>42828</v>
      </c>
      <c r="D351" s="295">
        <f>SUMPRODUCT('INV500 '!$V$3:$V$1990*((WebPosting!B351='INV500 '!$K$3:$K$1990))*('INV500 '!$O$3:$O$1990&lt;&gt;"M")*('INV500 '!$C$3:$C$1990=65))*1000</f>
        <v>50000000</v>
      </c>
      <c r="E351" s="214">
        <f>VLOOKUP($B351,'INV500 '!$K$3:$U$1990,11,FALSE)/100</f>
        <v>4.4000000000000003E-3</v>
      </c>
      <c r="G351" s="214">
        <f>($D351*$E351)/($D$345+$D$369)</f>
        <v>6.6444185128929103E-5</v>
      </c>
    </row>
    <row r="352" spans="1:7">
      <c r="A352" s="319" t="str">
        <f>INDEX('INV500 '!$D$3:$D$402,MATCH(WebPosting!$B352,'INV500 '!$K$3:$K$402,0))</f>
        <v xml:space="preserve">FHLMC DISCOUNT NOTES          </v>
      </c>
      <c r="B352" s="325">
        <v>16090115</v>
      </c>
      <c r="C352" s="247">
        <f>VLOOKUP(B352,'INV500 '!$K$3:$T$1990,10,FALSE)</f>
        <v>42842</v>
      </c>
      <c r="D352" s="295">
        <f>SUMPRODUCT('INV500 '!$V$3:$V$1990*((WebPosting!B352='INV500 '!$K$3:$K$1990))*('INV500 '!$O$3:$O$1990&lt;&gt;"M")*('INV500 '!$C$3:$C$1990=65))*1000</f>
        <v>50000000</v>
      </c>
      <c r="E352" s="214">
        <f>VLOOKUP($B352,'INV500 '!$K$3:$U$1990,11,FALSE)/100</f>
        <v>4.7999999999999996E-3</v>
      </c>
      <c r="G352" s="214">
        <f>($D352*$E352)/($D$345+$D$369)</f>
        <v>7.2484565595195386E-5</v>
      </c>
    </row>
    <row r="353" spans="1:7">
      <c r="A353" s="319" t="str">
        <f>INDEX('INV500 '!$D$3:$D$402,MATCH(WebPosting!$B353,'INV500 '!$K$3:$K$402,0))</f>
        <v xml:space="preserve">FHLMC DISCOUNT NOTES          </v>
      </c>
      <c r="B353" s="325">
        <v>16090211</v>
      </c>
      <c r="C353" s="247">
        <f>VLOOKUP(B353,'INV500 '!$K$3:$T$1990,10,FALSE)</f>
        <v>42842</v>
      </c>
      <c r="D353" s="295">
        <f>SUMPRODUCT('INV500 '!$V$3:$V$1990*((WebPosting!B353='INV500 '!$K$3:$K$1990))*('INV500 '!$O$3:$O$1990&lt;&gt;"M")*('INV500 '!$C$3:$C$1990=65))*1000</f>
        <v>50000000</v>
      </c>
      <c r="E353" s="214">
        <f>VLOOKUP($B353,'INV500 '!$K$3:$U$1990,11,FALSE)/100</f>
        <v>4.5000000000000005E-3</v>
      </c>
      <c r="G353" s="214">
        <f>($D353*$E353)/($D$345+$D$369)</f>
        <v>6.7954280245495681E-5</v>
      </c>
    </row>
    <row r="354" spans="1:7">
      <c r="A354" s="319" t="str">
        <f>INDEX('INV500 '!$D$3:$D$402,MATCH(WebPosting!$B354,'INV500 '!$K$3:$K$402,0))</f>
        <v xml:space="preserve">FHLMC DISCOUNT NOTES          </v>
      </c>
      <c r="B354" s="258">
        <v>16100515</v>
      </c>
      <c r="C354" s="247">
        <f>VLOOKUP(B354,'INV500 '!$K$3:$T$1990,10,FALSE)</f>
        <v>42858</v>
      </c>
      <c r="D354" s="295">
        <f>SUMPRODUCT('INV500 '!$V$3:$V$1990*((WebPosting!B354='INV500 '!$K$3:$K$1990))*('INV500 '!$O$3:$O$1990&lt;&gt;"M")*('INV500 '!$C$3:$C$1990=65))*1000</f>
        <v>50000000</v>
      </c>
      <c r="E354" s="214">
        <f>VLOOKUP($B354,'INV500 '!$K$3:$U$1990,11,FALSE)/100</f>
        <v>4.7999999999999996E-3</v>
      </c>
      <c r="G354" s="214">
        <f>($D354*$E354)/($D$345+$D$369)</f>
        <v>7.2484565595195386E-5</v>
      </c>
    </row>
    <row r="355" spans="1:7">
      <c r="A355" s="319" t="str">
        <f>INDEX('INV500 '!$D$3:$D$402,MATCH(WebPosting!$B355,'INV500 '!$K$3:$K$402,0))</f>
        <v xml:space="preserve">FHLMC DISCOUNT NOTES          </v>
      </c>
      <c r="B355" s="324">
        <v>16101212</v>
      </c>
      <c r="C355" s="247">
        <f>VLOOKUP(B355,'INV500 '!$K$3:$T$1990,10,FALSE)</f>
        <v>42863</v>
      </c>
      <c r="D355" s="295">
        <f>SUMPRODUCT('INV500 '!$V$3:$V$1990*((WebPosting!B355='INV500 '!$K$3:$K$1990))*('INV500 '!$O$3:$O$1990&lt;&gt;"M")*('INV500 '!$C$3:$C$1990=65))*1000</f>
        <v>50000000</v>
      </c>
      <c r="E355" s="214">
        <f>VLOOKUP($B355,'INV500 '!$K$3:$U$1990,11,FALSE)/100</f>
        <v>4.8999999999999998E-3</v>
      </c>
      <c r="G355" s="214">
        <f>($D355*$E355)/($D$345+$D$369)</f>
        <v>7.3994660711761964E-5</v>
      </c>
    </row>
    <row r="356" spans="1:7">
      <c r="A356" s="319" t="str">
        <f>INDEX('INV500 '!$D$3:$D$402,MATCH(WebPosting!$B356,'INV500 '!$K$3:$K$402,0))</f>
        <v xml:space="preserve">FHLMC DISCOUNT NOTES          </v>
      </c>
      <c r="B356" s="323">
        <v>16110912</v>
      </c>
      <c r="C356" s="247">
        <f>VLOOKUP(B356,'INV500 '!$K$3:$T$1990,10,FALSE)</f>
        <v>42874</v>
      </c>
      <c r="D356" s="295">
        <f>SUMPRODUCT('INV500 '!$V$3:$V$1990*((WebPosting!B356='INV500 '!$K$3:$K$1990))*('INV500 '!$O$3:$O$1990&lt;&gt;"M")*('INV500 '!$C$3:$C$1990=65))*1000</f>
        <v>50000000</v>
      </c>
      <c r="E356" s="214">
        <f>VLOOKUP($B356,'INV500 '!$K$3:$U$1990,11,FALSE)/100</f>
        <v>5.1999999999999998E-3</v>
      </c>
      <c r="G356" s="214">
        <f>($D356*$E356)/($D$345+$D$369)</f>
        <v>7.852494606146167E-5</v>
      </c>
    </row>
    <row r="357" spans="1:7">
      <c r="A357" s="319" t="str">
        <f>INDEX('INV500 '!$D$3:$D$402,MATCH(WebPosting!$B357,'INV500 '!$K$3:$K$402,0))</f>
        <v xml:space="preserve">FHLMC DISCOUNT NOTES          </v>
      </c>
      <c r="B357" s="405">
        <v>17013115</v>
      </c>
      <c r="C357" s="247">
        <f>VLOOKUP(B357,'INV500 '!$K$3:$T$1990,10,FALSE)</f>
        <v>42891</v>
      </c>
      <c r="D357" s="295">
        <f>SUMPRODUCT('INV500 '!$V$3:$V$1990*((WebPosting!B357='INV500 '!$K$3:$K$1990))*('INV500 '!$O$3:$O$1990&lt;&gt;"M")*('INV500 '!$C$3:$C$1990=65))*1000</f>
        <v>50000000</v>
      </c>
      <c r="E357" s="214">
        <f>VLOOKUP($B357,'INV500 '!$K$3:$U$1990,11,FALSE)/100</f>
        <v>5.1999999999999998E-3</v>
      </c>
      <c r="G357" s="214">
        <f>($D357*$E357)/($D$345+$D$369)</f>
        <v>7.852494606146167E-5</v>
      </c>
    </row>
    <row r="358" spans="1:7">
      <c r="A358" s="319" t="str">
        <f>INDEX('INV500 '!$D$3:$D$402,MATCH(WebPosting!$B358,'INV500 '!$K$3:$K$402,0))</f>
        <v xml:space="preserve">FHLMC DISCOUNT NOTES          </v>
      </c>
      <c r="B358" s="407">
        <v>17020913</v>
      </c>
      <c r="C358" s="247">
        <f>VLOOKUP(B358,'INV500 '!$K$3:$T$1990,10,FALSE)</f>
        <v>42919</v>
      </c>
      <c r="D358" s="295">
        <f>SUMPRODUCT('INV500 '!$V$3:$V$1990*((WebPosting!B358='INV500 '!$K$3:$K$1990))*('INV500 '!$O$3:$O$1990&lt;&gt;"M")*('INV500 '!$C$3:$C$1990=65))*1000</f>
        <v>50000000</v>
      </c>
      <c r="E358" s="214">
        <f>VLOOKUP($B358,'INV500 '!$K$3:$U$1990,11,FALSE)/100</f>
        <v>5.6999999999999993E-3</v>
      </c>
      <c r="G358" s="214">
        <f>($D358*$E358)/($D$345+$D$369)</f>
        <v>8.6075421644294503E-5</v>
      </c>
    </row>
    <row r="359" spans="1:7">
      <c r="A359" s="319" t="str">
        <f>INDEX('INV500 '!$D$3:$D$402,MATCH(WebPosting!$B359,'INV500 '!$K$3:$K$402,0))</f>
        <v xml:space="preserve">FHLMC DISCOUNT NOTES          </v>
      </c>
      <c r="B359" s="228">
        <v>17032122</v>
      </c>
      <c r="C359" s="247">
        <f>VLOOKUP(B359,'INV500 '!$K$3:$T$1990,10,FALSE)</f>
        <v>42926</v>
      </c>
      <c r="D359" s="295">
        <f>SUMPRODUCT('INV500 '!$V$3:$V$1990*((WebPosting!B359='INV500 '!$K$3:$K$1990))*('INV500 '!$O$3:$O$1990&lt;&gt;"M")*('INV500 '!$C$3:$C$1990=65))*1000</f>
        <v>25000000</v>
      </c>
      <c r="E359" s="214">
        <f>VLOOKUP($B359,'INV500 '!$K$3:$U$1990,11,FALSE)/100</f>
        <v>7.7000000000000002E-3</v>
      </c>
      <c r="G359" s="214">
        <f>($D359*$E359)/($D$345+$D$369)</f>
        <v>5.8138661987812967E-5</v>
      </c>
    </row>
    <row r="360" spans="1:7" ht="15.4" customHeight="1">
      <c r="A360" s="322" t="str">
        <f>INDEX('INV500 '!$D$3:$D$402,MATCH(WebPosting!$B360,'INV500 '!$K$3:$K$402,0))</f>
        <v xml:space="preserve">FNMA DISCOUNT NOTES           </v>
      </c>
      <c r="B360" s="283">
        <v>16112922</v>
      </c>
      <c r="C360" s="247">
        <f>VLOOKUP(B360,'INV500 '!$K$3:$T$1990,10,FALSE)</f>
        <v>42870</v>
      </c>
      <c r="D360" s="295">
        <f>SUMPRODUCT('INV500 '!$V$3:$V$1990*((WebPosting!B360='INV500 '!$K$3:$K$1990))*('INV500 '!$O$3:$O$1990&lt;&gt;"M")*('INV500 '!$C$3:$C$1990=64))*1000</f>
        <v>50000000</v>
      </c>
      <c r="E360" s="214">
        <f>VLOOKUP($B360,'INV500 '!$K$3:$U$1990,11,FALSE)/100</f>
        <v>5.5000000000000005E-3</v>
      </c>
      <c r="G360" s="214">
        <f>($D360*$E360)/($D$345+$D$369)</f>
        <v>8.3055231411161389E-5</v>
      </c>
    </row>
    <row r="361" spans="1:7" ht="15.4" customHeight="1">
      <c r="A361" s="322" t="str">
        <f>INDEX('INV500 '!$D$3:$D$402,MATCH(WebPosting!$B361,'INV500 '!$K$3:$K$402,0))</f>
        <v xml:space="preserve">FNMA DISCOUNT NOTES           </v>
      </c>
      <c r="B361" s="321">
        <v>17011213</v>
      </c>
      <c r="C361" s="247">
        <f>VLOOKUP(B361,'INV500 '!$K$3:$T$1990,10,FALSE)</f>
        <v>42887</v>
      </c>
      <c r="D361" s="295">
        <f>SUMPRODUCT('INV500 '!$V$3:$V$1990*((WebPosting!B361='INV500 '!$K$3:$K$1990))*('INV500 '!$O$3:$O$1990&lt;&gt;"M")*('INV500 '!$C$3:$C$1990=64))*1000</f>
        <v>50000000</v>
      </c>
      <c r="E361" s="214">
        <f>VLOOKUP($B361,'INV500 '!$K$3:$U$1990,11,FALSE)/100</f>
        <v>5.3E-3</v>
      </c>
      <c r="G361" s="214">
        <f>($D361*$E361)/($D$345+$D$369)</f>
        <v>8.0035041178028247E-5</v>
      </c>
    </row>
    <row r="362" spans="1:7" hidden="1">
      <c r="A362" s="319" t="e">
        <f>INDEX('INV500 '!$D$3:$D$402,MATCH(WebPosting!$B362,'INV500 '!$K$3:$K$402,0))</f>
        <v>#N/A</v>
      </c>
      <c r="B362" s="254">
        <v>16072810</v>
      </c>
      <c r="C362" s="247" t="e">
        <f>VLOOKUP(B362,'INV500 '!$K$3:$T$1990,10,FALSE)</f>
        <v>#N/A</v>
      </c>
      <c r="D362" s="295">
        <f>SUMPRODUCT('INV500 '!$V$3:$V$1990*((WebPosting!B362='INV500 '!$K$3:$K$1990))*('INV500 '!$O$3:$O$1990&lt;&gt;"M")*('INV500 '!$C$3:$C$1990=67))*1000</f>
        <v>0</v>
      </c>
      <c r="E362" s="214" t="e">
        <f>VLOOKUP($B362,'INV500 '!$K$3:$U$1990,11,FALSE)/100</f>
        <v>#N/A</v>
      </c>
      <c r="G362" s="214" t="e">
        <f>($D362*$E362)/($D$345+$D$369)</f>
        <v>#N/A</v>
      </c>
    </row>
    <row r="363" spans="1:7" hidden="1">
      <c r="A363" s="319" t="e">
        <f>INDEX('INV500 '!$D$3:$D$402,MATCH(WebPosting!$B363,'INV500 '!$K$3:$K$402,0))</f>
        <v>#N/A</v>
      </c>
      <c r="B363" s="254">
        <v>16072811</v>
      </c>
      <c r="C363" s="247" t="e">
        <f>VLOOKUP(B363,'INV500 '!$K$3:$T$1990,10,FALSE)</f>
        <v>#N/A</v>
      </c>
      <c r="D363" s="295">
        <f>SUMPRODUCT('INV500 '!$V$3:$V$1990*((WebPosting!B363='INV500 '!$K$3:$K$1990))*('INV500 '!$O$3:$O$1990&lt;&gt;"M")*('INV500 '!$C$3:$C$1990=67))*1000</f>
        <v>0</v>
      </c>
      <c r="E363" s="214" t="e">
        <f>VLOOKUP($B363,'INV500 '!$K$3:$U$1990,11,FALSE)/100</f>
        <v>#N/A</v>
      </c>
      <c r="G363" s="214" t="e">
        <f>($D363*$E363)/($D$345+$D$369)</f>
        <v>#N/A</v>
      </c>
    </row>
    <row r="364" spans="1:7">
      <c r="A364" s="319" t="str">
        <f>INDEX('INV500 '!$D$3:$D$402,MATCH(WebPosting!$B364,'INV500 '!$K$3:$K$402,0))</f>
        <v xml:space="preserve">FHLB DISCOUNT NOTES           </v>
      </c>
      <c r="B364" s="320">
        <v>16120714</v>
      </c>
      <c r="C364" s="247">
        <f>VLOOKUP(B364,'INV500 '!$K$3:$T$1990,10,FALSE)</f>
        <v>42865</v>
      </c>
      <c r="D364" s="295">
        <f>SUMPRODUCT('INV500 '!$V$3:$V$1990*((WebPosting!B364='INV500 '!$K$3:$K$1990))*('INV500 '!$O$3:$O$1990&lt;&gt;"M")*('INV500 '!$C$3:$C$1990=67))*1000</f>
        <v>25000000</v>
      </c>
      <c r="E364" s="214">
        <f>VLOOKUP($B364,'INV500 '!$K$3:$U$1990,11,FALSE)/100</f>
        <v>5.6000000000000008E-3</v>
      </c>
      <c r="G364" s="214">
        <f>($D364*$E364)/($D$345+$D$369)</f>
        <v>4.2282663263863983E-5</v>
      </c>
    </row>
    <row r="365" spans="1:7">
      <c r="A365" s="319" t="str">
        <f>INDEX('INV500 '!$D$3:$D$402,MATCH(WebPosting!$B365,'INV500 '!$K$3:$K$402,0))</f>
        <v xml:space="preserve">FHLB DISCOUNT NOTES           </v>
      </c>
      <c r="B365" s="405">
        <v>17020120</v>
      </c>
      <c r="C365" s="247">
        <f>VLOOKUP(B365,'INV500 '!$K$3:$T$1990,10,FALSE)</f>
        <v>42894</v>
      </c>
      <c r="D365" s="295">
        <f>SUMPRODUCT('INV500 '!$V$3:$V$1990*((WebPosting!B365='INV500 '!$K$3:$K$1990))*('INV500 '!$O$3:$O$1990&lt;&gt;"M")*('INV500 '!$C$3:$C$1990=67))*1000</f>
        <v>50000000</v>
      </c>
      <c r="E365" s="214">
        <f>VLOOKUP($B365,'INV500 '!$K$3:$U$1990,11,FALSE)/100</f>
        <v>5.4000000000000003E-3</v>
      </c>
      <c r="G365" s="214">
        <f>($D365*$E365)/($D$345+$D$369)</f>
        <v>8.1545136294594811E-5</v>
      </c>
    </row>
    <row r="366" spans="1:7">
      <c r="A366" s="319" t="str">
        <f>INDEX('INV500 '!$D$3:$D$402,MATCH(WebPosting!$B366,'INV500 '!$K$3:$K$402,0))</f>
        <v xml:space="preserve">FHLB DISCOUNT NOTES           </v>
      </c>
      <c r="B366" s="228">
        <v>17032116</v>
      </c>
      <c r="C366" s="247">
        <f>VLOOKUP(B366,'INV500 '!$K$3:$T$1990,10,FALSE)</f>
        <v>43070</v>
      </c>
      <c r="D366" s="295">
        <f>SUMPRODUCT('INV500 '!$V$3:$V$1990*((WebPosting!B366='INV500 '!$K$3:$K$1990))*('INV500 '!$O$3:$O$1990&lt;&gt;"M")*('INV500 '!$C$3:$C$1990=67))*1000</f>
        <v>50000000</v>
      </c>
      <c r="E366" s="214">
        <f>VLOOKUP($B366,'INV500 '!$K$3:$U$1990,11,FALSE)/100</f>
        <v>9.3999999999999986E-3</v>
      </c>
      <c r="G366" s="214">
        <f>($D366*$E366)/($D$345+$D$369)</f>
        <v>1.4194894095725762E-4</v>
      </c>
    </row>
    <row r="367" spans="1:7">
      <c r="A367" s="319" t="str">
        <f>INDEX('INV500 '!$D$3:$D$402,MATCH(WebPosting!$B367,'INV500 '!$K$3:$K$402,0))</f>
        <v xml:space="preserve">FHLB DISCOUNT NOTES           </v>
      </c>
      <c r="B367" s="228">
        <v>17032123</v>
      </c>
      <c r="C367" s="247">
        <f>VLOOKUP(B367,'INV500 '!$K$3:$T$1990,10,FALSE)</f>
        <v>42835</v>
      </c>
      <c r="D367" s="295">
        <f>SUMPRODUCT('INV500 '!$V$3:$V$1990*((WebPosting!B367='INV500 '!$K$3:$K$1990))*('INV500 '!$O$3:$O$1990&lt;&gt;"M")*('INV500 '!$C$3:$C$1990=67))*1000</f>
        <v>25000000</v>
      </c>
      <c r="E367" s="214">
        <f>VLOOKUP($B367,'INV500 '!$K$3:$U$1990,11,FALSE)/100</f>
        <v>6.0999999999999995E-3</v>
      </c>
      <c r="G367" s="214">
        <f>($D367*$E367)/($D$345+$D$369)</f>
        <v>4.60579010552804E-5</v>
      </c>
    </row>
    <row r="368" spans="1:7" ht="6.75" customHeight="1">
      <c r="A368" s="319"/>
      <c r="B368" s="228"/>
      <c r="C368" s="247"/>
      <c r="D368" s="294"/>
    </row>
    <row r="369" spans="1:10" ht="17.25" customHeight="1">
      <c r="A369" s="277" t="s">
        <v>278</v>
      </c>
      <c r="C369" s="247"/>
      <c r="D369" s="306">
        <f>SUM(D350:D367)</f>
        <v>675000000</v>
      </c>
    </row>
    <row r="370" spans="1:10">
      <c r="A370" s="277"/>
      <c r="C370" s="247"/>
      <c r="D370" s="306"/>
    </row>
    <row r="371" spans="1:10" ht="16.5" thickBot="1">
      <c r="A371" s="277" t="s">
        <v>277</v>
      </c>
      <c r="B371" s="224"/>
      <c r="D371" s="239">
        <f>+D345+D369</f>
        <v>3311049711.4700003</v>
      </c>
      <c r="E371" s="275"/>
      <c r="F371" s="275"/>
      <c r="G371" s="275"/>
    </row>
    <row r="372" spans="1:10" ht="16.5" thickTop="1">
      <c r="A372" s="277"/>
      <c r="B372" s="224"/>
      <c r="D372" s="306"/>
      <c r="E372" s="275"/>
      <c r="F372" s="275"/>
      <c r="G372" s="275"/>
      <c r="H372" s="293"/>
    </row>
    <row r="373" spans="1:10">
      <c r="A373" s="273"/>
      <c r="C373" s="247"/>
      <c r="D373" s="291"/>
      <c r="H373" s="293"/>
    </row>
    <row r="374" spans="1:10" ht="18">
      <c r="A374" s="436" t="s">
        <v>286</v>
      </c>
      <c r="B374" s="436"/>
      <c r="C374" s="436"/>
      <c r="D374" s="436"/>
      <c r="E374" s="436"/>
      <c r="F374" s="274"/>
      <c r="G374" s="274"/>
      <c r="I374" s="346"/>
      <c r="J374" s="346"/>
    </row>
    <row r="375" spans="1:10">
      <c r="A375" s="273" t="s">
        <v>258</v>
      </c>
      <c r="B375" s="272"/>
      <c r="C375" s="300" t="s">
        <v>267</v>
      </c>
      <c r="D375" s="270" t="s">
        <v>257</v>
      </c>
      <c r="E375" s="299" t="s">
        <v>266</v>
      </c>
      <c r="F375" s="268" t="s">
        <v>279</v>
      </c>
      <c r="G375" s="317">
        <f>SUM(G376)</f>
        <v>6.0197719986321363E-5</v>
      </c>
      <c r="I375" s="346"/>
      <c r="J375" s="346"/>
    </row>
    <row r="376" spans="1:10">
      <c r="A376" s="319" t="str">
        <f>INDEX('INV500 '!$D$3:$D$402,MATCH(WebPosting!$B376,'INV500 '!$K$3:$K$402,0))</f>
        <v xml:space="preserve">TREASURY BILLS                </v>
      </c>
      <c r="B376" s="407">
        <v>17011713</v>
      </c>
      <c r="C376" s="247">
        <f>VLOOKUP(B376,'INV500 '!$K$3:$T$1990,10,FALSE)</f>
        <v>42894</v>
      </c>
      <c r="D376" s="295">
        <f>SUMPRODUCT('INV500 '!$V$3:$V$1990*((WebPosting!B376='INV500 '!$K$3:$K$1990)*1000)*('INV500 '!$O$3:$O$1990&lt;&gt;"M")*('INV500 '!$C$3:$C$1990=62))</f>
        <v>30000000</v>
      </c>
      <c r="E376" s="214">
        <f>VLOOKUP($B376,'INV500 '!$K$3:$U$1990,11,FALSE)/100</f>
        <v>5.45E-3</v>
      </c>
      <c r="G376" s="214">
        <f>($D376*$E376)/($D$345+$D$379)</f>
        <v>6.0197719986321363E-5</v>
      </c>
      <c r="I376" s="346"/>
      <c r="J376" s="346"/>
    </row>
    <row r="377" spans="1:10">
      <c r="A377" s="319" t="str">
        <f>INDEX('INV500 '!$D$3:$D$402,MATCH(WebPosting!$B377,'INV500 '!$K$3:$K$402,0))</f>
        <v xml:space="preserve">TREASURY BILLS                </v>
      </c>
      <c r="B377" s="406">
        <v>17030711</v>
      </c>
      <c r="C377" s="247">
        <f>VLOOKUP(B377,'INV500 '!$K$3:$T$1990,10,FALSE)</f>
        <v>42929</v>
      </c>
      <c r="D377" s="295">
        <f>SUMPRODUCT('INV500 '!$V$3:$V$1990*((WebPosting!B377='INV500 '!$K$3:$K$1990)*1000)*('INV500 '!$O$3:$O$1990&lt;&gt;"M")*('INV500 '!$C$3:$C$1990=62))</f>
        <v>50000000</v>
      </c>
      <c r="E377" s="214">
        <f>VLOOKUP($B377,'INV500 '!$K$3:$U$1990,11,FALSE)/100</f>
        <v>7.6049999999999998E-3</v>
      </c>
      <c r="G377" s="214">
        <f>($D377*$E377)/($D$345+$D$379)</f>
        <v>1.4000111941772905E-4</v>
      </c>
      <c r="I377" s="346"/>
      <c r="J377" s="346"/>
    </row>
    <row r="378" spans="1:10" ht="6" customHeight="1">
      <c r="A378" s="319"/>
      <c r="B378" s="395"/>
      <c r="C378" s="247"/>
      <c r="D378" s="294"/>
      <c r="I378" s="346"/>
      <c r="J378" s="346"/>
    </row>
    <row r="379" spans="1:10">
      <c r="A379" s="277" t="s">
        <v>285</v>
      </c>
      <c r="C379" s="247"/>
      <c r="D379" s="291">
        <f>SUM(D376:D377)</f>
        <v>80000000</v>
      </c>
      <c r="I379" s="346"/>
      <c r="J379" s="346"/>
    </row>
    <row r="380" spans="1:10">
      <c r="A380" s="277"/>
      <c r="B380" s="224"/>
      <c r="D380" s="306"/>
      <c r="E380" s="275"/>
      <c r="F380" s="275"/>
      <c r="G380" s="275"/>
      <c r="I380" s="346"/>
      <c r="J380" s="346"/>
    </row>
    <row r="381" spans="1:10">
      <c r="A381" s="301"/>
      <c r="B381" s="224"/>
      <c r="D381" s="306"/>
      <c r="E381" s="275"/>
      <c r="F381" s="275"/>
      <c r="G381" s="275"/>
      <c r="H381" s="293"/>
    </row>
    <row r="382" spans="1:10" ht="18">
      <c r="A382" s="436" t="s">
        <v>276</v>
      </c>
      <c r="B382" s="436"/>
      <c r="C382" s="436"/>
      <c r="D382" s="436"/>
      <c r="E382" s="436"/>
      <c r="F382" s="274"/>
      <c r="G382" s="318" t="s">
        <v>275</v>
      </c>
      <c r="H382" s="293"/>
    </row>
    <row r="383" spans="1:10">
      <c r="A383" s="273" t="s">
        <v>258</v>
      </c>
      <c r="B383" s="272"/>
      <c r="C383" s="300" t="s">
        <v>267</v>
      </c>
      <c r="D383" s="270" t="s">
        <v>257</v>
      </c>
      <c r="E383" s="299" t="s">
        <v>266</v>
      </c>
      <c r="F383" s="268" t="s">
        <v>274</v>
      </c>
      <c r="G383" s="317">
        <f>SUM(G384:G429)</f>
        <v>1.4332700822264387E-2</v>
      </c>
      <c r="H383" s="293"/>
    </row>
    <row r="384" spans="1:10">
      <c r="A384" s="211" t="str">
        <f>INDEX('INV500 '!$D$3:$D$402,MATCH(WebPosting!$B384,'INV500 '!$K$3:$K$402,0))</f>
        <v xml:space="preserve">INTL BK DEV &amp; RECO            </v>
      </c>
      <c r="B384" s="305">
        <v>16052711</v>
      </c>
      <c r="C384" s="247">
        <f>VLOOKUP(B384,'INV500 '!$K$3:$T$1990,10,FALSE)</f>
        <v>43111</v>
      </c>
      <c r="D384" s="295">
        <f>SUMPRODUCT('INV500 '!$V$3:$V$1990*((WebPosting!B384='INV500 '!$K$3:$K$1990))*('INV500 '!$O$3:$O$1990&lt;&gt;"M")*('INV500 '!$C$3:$C$1990=30))*1000</f>
        <v>10000000</v>
      </c>
      <c r="E384" s="214">
        <f>VLOOKUP($B384,'INV500 '!$K$3:$U$1990,11,FALSE)/100</f>
        <v>1.06E-2</v>
      </c>
      <c r="G384" s="214">
        <f t="shared" ref="G384:G394" si="8">($D384*$E384)/($D$395+$D$404+$D$431+$D$421)</f>
        <v>6.3853498388602751E-4</v>
      </c>
    </row>
    <row r="385" spans="1:8">
      <c r="A385" s="211" t="str">
        <f>INDEX('INV500 '!$D$3:$D$402,MATCH(WebPosting!$B385,'INV500 '!$K$3:$K$402,0))</f>
        <v xml:space="preserve">INTL BK DEV &amp; RECO            </v>
      </c>
      <c r="B385" s="316">
        <v>16061324</v>
      </c>
      <c r="C385" s="247">
        <f>VLOOKUP(B385,'INV500 '!$K$3:$T$1990,10,FALSE)</f>
        <v>43174</v>
      </c>
      <c r="D385" s="295">
        <f>SUMPRODUCT('INV500 '!$V$3:$V$1990*((WebPosting!B385='INV500 '!$K$3:$K$1990))*('INV500 '!$O$3:$O$1990&lt;&gt;"M")*('INV500 '!$C$3:$C$1990=30))*1000</f>
        <v>10000000</v>
      </c>
      <c r="E385" s="214">
        <f>VLOOKUP($B385,'INV500 '!$K$3:$U$1990,11,FALSE)/100</f>
        <v>8.7500000000000008E-3</v>
      </c>
      <c r="G385" s="214">
        <f t="shared" si="8"/>
        <v>5.2709255745308884E-4</v>
      </c>
      <c r="H385" s="293"/>
    </row>
    <row r="386" spans="1:8">
      <c r="A386" s="211" t="str">
        <f>INDEX('INV500 '!$D$3:$D$402,MATCH(WebPosting!$B386,'INV500 '!$K$3:$K$402,0))</f>
        <v xml:space="preserve">INTL BK DEV &amp; RECO            </v>
      </c>
      <c r="B386" s="315">
        <v>15043001</v>
      </c>
      <c r="C386" s="247">
        <f>VLOOKUP(B386,'INV500 '!$K$3:$T$1990,10,FALSE)</f>
        <v>43266</v>
      </c>
      <c r="D386" s="295">
        <f>SUMPRODUCT('INV500 '!$V$3:$V$1990*((WebPosting!B386='INV500 '!$K$3:$K$1990))*('INV500 '!$O$3:$O$1990&lt;&gt;"M")*('INV500 '!$C$3:$C$1990=30))*1000</f>
        <v>10000000</v>
      </c>
      <c r="E386" s="214">
        <f>VLOOKUP($B386,'INV500 '!$K$3:$U$1990,11,FALSE)/100</f>
        <v>0.01</v>
      </c>
      <c r="G386" s="214">
        <f t="shared" si="8"/>
        <v>6.023914942321014E-4</v>
      </c>
      <c r="H386" s="293"/>
    </row>
    <row r="387" spans="1:8">
      <c r="A387" s="211" t="str">
        <f>INDEX('INV500 '!$D$3:$D$402,MATCH(WebPosting!$B387,'INV500 '!$K$3:$K$402,0))</f>
        <v xml:space="preserve">INTL BK DEV &amp; RECO            </v>
      </c>
      <c r="B387" s="314">
        <v>15051105</v>
      </c>
      <c r="C387" s="247">
        <f>VLOOKUP(B387,'INV500 '!$K$3:$T$1990,10,FALSE)</f>
        <v>43266</v>
      </c>
      <c r="D387" s="295">
        <f>SUMPRODUCT('INV500 '!$V$3:$V$1990*((WebPosting!B387='INV500 '!$K$3:$K$1990))*('INV500 '!$O$3:$O$1990&lt;&gt;"M")*('INV500 '!$C$3:$C$1990=30))*1000</f>
        <v>10000000</v>
      </c>
      <c r="E387" s="214">
        <f>VLOOKUP($B387,'INV500 '!$K$3:$U$1990,11,FALSE)/100</f>
        <v>0.01</v>
      </c>
      <c r="G387" s="214">
        <f t="shared" si="8"/>
        <v>6.023914942321014E-4</v>
      </c>
      <c r="H387" s="293"/>
    </row>
    <row r="388" spans="1:8">
      <c r="A388" s="211" t="str">
        <f>INDEX('INV500 '!$D$3:$D$402,MATCH(WebPosting!$B388,'INV500 '!$K$3:$K$402,0))</f>
        <v xml:space="preserve">INTL BK DEV &amp; RECO            </v>
      </c>
      <c r="B388" s="313">
        <v>16042221</v>
      </c>
      <c r="C388" s="247">
        <f>VLOOKUP(B388,'INV500 '!$K$3:$T$1990,10,FALSE)</f>
        <v>43300</v>
      </c>
      <c r="D388" s="295">
        <f>SUMPRODUCT('INV500 '!$V$3:$V$1990*((WebPosting!B388='INV500 '!$K$3:$K$1990))*('INV500 '!$O$3:$O$1990&lt;&gt;"M")*('INV500 '!$C$3:$C$1990=30))*1000</f>
        <v>10000000</v>
      </c>
      <c r="E388" s="214">
        <f>VLOOKUP($B388,'INV500 '!$K$3:$U$1990,11,FALSE)/100</f>
        <v>8.7500000000000008E-3</v>
      </c>
      <c r="G388" s="214">
        <f t="shared" si="8"/>
        <v>5.2709255745308884E-4</v>
      </c>
      <c r="H388" s="293"/>
    </row>
    <row r="389" spans="1:8">
      <c r="A389" s="211" t="str">
        <f>INDEX('INV500 '!$D$3:$D$402,MATCH(WebPosting!$B389,'INV500 '!$K$3:$K$402,0))</f>
        <v xml:space="preserve">INTL BK DEV &amp; RECO            </v>
      </c>
      <c r="B389" s="312">
        <v>16071312</v>
      </c>
      <c r="C389" s="247">
        <f>VLOOKUP(B389,'INV500 '!$K$3:$T$1990,10,FALSE)</f>
        <v>43692</v>
      </c>
      <c r="D389" s="295">
        <f>SUMPRODUCT('INV500 '!$V$3:$V$1990*((WebPosting!B389='INV500 '!$K$3:$K$1990))*('INV500 '!$O$3:$O$1990&lt;&gt;"M")*('INV500 '!$C$3:$C$1990=30))*1000</f>
        <v>10000000</v>
      </c>
      <c r="E389" s="214">
        <f>VLOOKUP($B389,'INV500 '!$K$3:$U$1990,11,FALSE)/100</f>
        <v>8.7500000000000008E-3</v>
      </c>
      <c r="G389" s="214">
        <f t="shared" si="8"/>
        <v>5.2709255745308884E-4</v>
      </c>
      <c r="H389" s="293"/>
    </row>
    <row r="390" spans="1:8">
      <c r="A390" s="211" t="str">
        <f>INDEX('INV500 '!$D$3:$D$402,MATCH(WebPosting!$B390,'INV500 '!$K$3:$K$402,0))</f>
        <v xml:space="preserve">INTL BK DEV &amp; RECO            </v>
      </c>
      <c r="B390" s="311">
        <v>16102711</v>
      </c>
      <c r="C390" s="247">
        <f>VLOOKUP(B390,'INV500 '!$K$3:$T$1990,10,FALSE)</f>
        <v>43796</v>
      </c>
      <c r="D390" s="295">
        <f>SUMPRODUCT('INV500 '!$V$3:$V$1990*((WebPosting!B390='INV500 '!$K$3:$K$1990))*('INV500 '!$O$3:$O$1990&lt;&gt;"M")*('INV500 '!$C$3:$C$1990=30))*1000</f>
        <v>10000000</v>
      </c>
      <c r="E390" s="214">
        <f>VLOOKUP($B390,'INV500 '!$K$3:$U$1990,11,FALSE)/100</f>
        <v>1.125E-2</v>
      </c>
      <c r="G390" s="214">
        <f t="shared" si="8"/>
        <v>6.7769043101111417E-4</v>
      </c>
      <c r="H390" s="293"/>
    </row>
    <row r="391" spans="1:8">
      <c r="A391" s="211" t="str">
        <f>INDEX('INV500 '!$D$3:$D$402,MATCH(WebPosting!$B391,'INV500 '!$K$3:$K$402,0))</f>
        <v xml:space="preserve">INTL BK DEV &amp; RECO            </v>
      </c>
      <c r="B391" s="228">
        <v>17032117</v>
      </c>
      <c r="C391" s="247">
        <f>VLOOKUP(B391,'INV500 '!$K$3:$T$1990,10,FALSE)</f>
        <v>43942</v>
      </c>
      <c r="D391" s="295">
        <f>SUMPRODUCT('INV500 '!$V$3:$V$1990*((WebPosting!B391='INV500 '!$K$3:$K$1990))*('INV500 '!$O$3:$O$1990&lt;&gt;"M")*('INV500 '!$C$3:$C$1990=30))*1000</f>
        <v>10000000</v>
      </c>
      <c r="E391" s="214">
        <f>VLOOKUP($B391,'INV500 '!$K$3:$U$1990,11,FALSE)/100</f>
        <v>1.8749999999999999E-2</v>
      </c>
      <c r="G391" s="214">
        <f t="shared" si="8"/>
        <v>1.1294840516851902E-3</v>
      </c>
      <c r="H391" s="293"/>
    </row>
    <row r="392" spans="1:8">
      <c r="A392" s="211" t="str">
        <f>INDEX('INV500 '!$D$3:$D$402,MATCH(WebPosting!$B392,'INV500 '!$K$3:$K$402,0))</f>
        <v xml:space="preserve">INTL BK DEV &amp; RECO            </v>
      </c>
      <c r="B392" s="310">
        <v>16081014</v>
      </c>
      <c r="C392" s="247">
        <f>VLOOKUP(B392,'INV500 '!$K$3:$T$1990,10,FALSE)</f>
        <v>44053</v>
      </c>
      <c r="D392" s="295">
        <f>SUMPRODUCT('INV500 '!$V$3:$V$1990*((WebPosting!B392='INV500 '!$K$3:$K$1990))*('INV500 '!$O$3:$O$1990&lt;&gt;"M")*('INV500 '!$C$3:$C$1990=30))*1000</f>
        <v>10000000</v>
      </c>
      <c r="E392" s="214">
        <f>VLOOKUP($B392,'INV500 '!$K$3:$U$1990,11,FALSE)/100</f>
        <v>1.125E-2</v>
      </c>
      <c r="G392" s="214">
        <f t="shared" si="8"/>
        <v>6.7769043101111417E-4</v>
      </c>
      <c r="H392" s="293"/>
    </row>
    <row r="393" spans="1:8">
      <c r="A393" s="211" t="str">
        <f>INDEX('INV500 '!$D$3:$D$402,MATCH(WebPosting!$B393,'INV500 '!$K$3:$K$402,0))</f>
        <v xml:space="preserve">INTL BK DEV &amp; RECO            </v>
      </c>
      <c r="B393" s="309">
        <v>16092011</v>
      </c>
      <c r="C393" s="247">
        <f>VLOOKUP(B393,'INV500 '!$K$3:$T$1990,10,FALSE)</f>
        <v>44459</v>
      </c>
      <c r="D393" s="295">
        <f>SUMPRODUCT('INV500 '!$V$3:$V$1990*((WebPosting!B393='INV500 '!$K$3:$K$1990))*('INV500 '!$O$3:$O$1990&lt;&gt;"M")*('INV500 '!$C$3:$C$1990=30))*1000</f>
        <v>10000000</v>
      </c>
      <c r="E393" s="214">
        <f>VLOOKUP($B393,'INV500 '!$K$3:$U$1990,11,FALSE)/100</f>
        <v>1.375E-2</v>
      </c>
      <c r="G393" s="214">
        <f t="shared" si="8"/>
        <v>8.2828830456913949E-4</v>
      </c>
      <c r="H393" s="293"/>
    </row>
    <row r="394" spans="1:8" ht="8.25" customHeight="1">
      <c r="A394" s="308"/>
      <c r="B394" s="307"/>
      <c r="C394" s="247"/>
      <c r="D394" s="294"/>
      <c r="G394" s="214">
        <f t="shared" si="8"/>
        <v>0</v>
      </c>
      <c r="H394" s="293"/>
    </row>
    <row r="395" spans="1:8" ht="12" customHeight="1">
      <c r="A395" s="277" t="s">
        <v>273</v>
      </c>
      <c r="C395" s="247"/>
      <c r="D395" s="306">
        <f>SUM(D384:D394)</f>
        <v>100000000</v>
      </c>
      <c r="H395" s="293"/>
    </row>
    <row r="396" spans="1:8">
      <c r="A396" s="277"/>
      <c r="C396" s="247"/>
      <c r="D396" s="306"/>
      <c r="H396" s="293"/>
    </row>
    <row r="397" spans="1:8">
      <c r="A397" s="277"/>
      <c r="C397" s="247"/>
      <c r="D397" s="306"/>
      <c r="H397" s="293"/>
    </row>
    <row r="398" spans="1:8" ht="18">
      <c r="A398" s="436" t="s">
        <v>272</v>
      </c>
      <c r="B398" s="436"/>
      <c r="C398" s="436"/>
      <c r="D398" s="436"/>
      <c r="E398" s="436"/>
      <c r="F398" s="274"/>
      <c r="G398" s="274"/>
      <c r="H398" s="293"/>
    </row>
    <row r="399" spans="1:8">
      <c r="A399" s="273" t="s">
        <v>258</v>
      </c>
      <c r="B399" s="272"/>
      <c r="C399" s="300" t="s">
        <v>267</v>
      </c>
      <c r="D399" s="270" t="s">
        <v>257</v>
      </c>
      <c r="E399" s="299" t="s">
        <v>266</v>
      </c>
      <c r="F399" s="299"/>
      <c r="G399" s="299"/>
      <c r="H399" s="293"/>
    </row>
    <row r="400" spans="1:8">
      <c r="A400" s="211" t="str">
        <f>INDEX('INV500 '!$H$3:$H$402,MATCH(WebPosting!$B400,'INV500 '!$K$3:$K$402,0))</f>
        <v xml:space="preserve">VILLAGE OF SKOKIE IL          </v>
      </c>
      <c r="B400" s="305">
        <v>16052609</v>
      </c>
      <c r="C400" s="247">
        <f>VLOOKUP(B400,'INV500 '!$K$3:$T$1990,10,FALSE)</f>
        <v>44166</v>
      </c>
      <c r="D400" s="295">
        <f>SUMPRODUCT('INV500 '!$V$3:$V$1990*((WebPosting!B400='INV500 '!$K$3:$K$1990)*1000)*('INV500 '!$O$3:$O$1990&lt;&gt;"M")*('INV500 '!$C$3:$C$1990=76))</f>
        <v>300000</v>
      </c>
      <c r="E400" s="214">
        <f>VLOOKUP($B400,'INV500 '!$K$3:$U$1990,11,FALSE)/100</f>
        <v>1.6E-2</v>
      </c>
      <c r="G400" s="214">
        <f>($D400*$E400)/($D$395+$D$404+$D$431+$D$421)</f>
        <v>2.8914791723140869E-5</v>
      </c>
      <c r="H400" s="293"/>
    </row>
    <row r="401" spans="1:8">
      <c r="A401" s="211" t="str">
        <f>INDEX('INV500 '!$H$3:$H$402,MATCH(WebPosting!$B401,'INV500 '!$K$3:$K$402,0))</f>
        <v>COOK CNTY HS207 MAINE TOWNSHIP</v>
      </c>
      <c r="B401" s="303">
        <v>16122210</v>
      </c>
      <c r="C401" s="247">
        <f>VLOOKUP(B401,'INV500 '!$K$3:$T$1990,10,FALSE)</f>
        <v>44166</v>
      </c>
      <c r="D401" s="295">
        <f>SUMPRODUCT('INV500 '!$V$3:$V$1990*((WebPosting!B401='INV500 '!$K$3:$K$1990)*1000)*('INV500 '!$O$3:$O$1990&lt;&gt;"M")*('INV500 '!$C$3:$C$1990=76))</f>
        <v>110000</v>
      </c>
      <c r="E401" s="214">
        <f>VLOOKUP($B401,'INV500 '!$K$3:$U$1990,11,FALSE)/100</f>
        <v>2.2000000000000002E-2</v>
      </c>
      <c r="G401" s="214">
        <f>($D401*$E401)/($D$395+$D$404+$D$431+$D$421)</f>
        <v>1.4577874160416858E-5</v>
      </c>
      <c r="H401" s="293"/>
    </row>
    <row r="402" spans="1:8">
      <c r="A402" s="211" t="str">
        <f>INDEX('INV500 '!$H$3:$H$402,MATCH(WebPosting!$B402,'INV500 '!$K$3:$K$402,0))</f>
        <v>COOK CNTY HS207 MAINE TOWNSHIP</v>
      </c>
      <c r="B402" s="303">
        <v>16122209</v>
      </c>
      <c r="C402" s="247">
        <f>VLOOKUP(B402,'INV500 '!$K$3:$T$1990,10,FALSE)</f>
        <v>44531</v>
      </c>
      <c r="D402" s="295">
        <f>SUMPRODUCT('INV500 '!$V$3:$V$1990*((WebPosting!B402='INV500 '!$K$3:$K$1990)*1000)*('INV500 '!$O$3:$O$1990&lt;&gt;"M")*('INV500 '!$C$3:$C$1990=76))</f>
        <v>95000</v>
      </c>
      <c r="E402" s="214">
        <f>VLOOKUP($B402,'INV500 '!$K$3:$U$1990,11,FALSE)/100</f>
        <v>2.4E-2</v>
      </c>
      <c r="G402" s="214">
        <f>($D402*$E402)/($D$395+$D$404+$D$431+$D$421)</f>
        <v>1.3734526068491912E-5</v>
      </c>
      <c r="H402" s="293"/>
    </row>
    <row r="403" spans="1:8" ht="8.25" customHeight="1">
      <c r="C403" s="247"/>
      <c r="D403" s="294"/>
      <c r="G403" s="214">
        <f>($D403*$E403)/($D$395+$D$404+$D$431+$D$421)</f>
        <v>0</v>
      </c>
      <c r="H403" s="293"/>
    </row>
    <row r="404" spans="1:8" ht="15.75" customHeight="1">
      <c r="A404" s="277" t="s">
        <v>271</v>
      </c>
      <c r="C404" s="292"/>
      <c r="D404" s="291">
        <f>SUM(D400:D403)</f>
        <v>505000</v>
      </c>
      <c r="H404" s="293"/>
    </row>
    <row r="405" spans="1:8">
      <c r="A405" s="277"/>
      <c r="C405" s="292"/>
      <c r="D405" s="291"/>
      <c r="H405" s="293"/>
    </row>
    <row r="406" spans="1:8">
      <c r="A406" s="277"/>
      <c r="C406" s="292"/>
      <c r="D406" s="291"/>
      <c r="H406" s="293"/>
    </row>
    <row r="407" spans="1:8" ht="18">
      <c r="A407" s="436" t="s">
        <v>270</v>
      </c>
      <c r="B407" s="436"/>
      <c r="C407" s="436"/>
      <c r="D407" s="436"/>
      <c r="E407" s="436"/>
      <c r="F407" s="274"/>
      <c r="G407" s="274"/>
      <c r="H407" s="293"/>
    </row>
    <row r="408" spans="1:8">
      <c r="A408" s="273" t="s">
        <v>258</v>
      </c>
      <c r="B408" s="272"/>
      <c r="C408" s="300" t="s">
        <v>267</v>
      </c>
      <c r="D408" s="270" t="s">
        <v>257</v>
      </c>
      <c r="E408" s="299" t="s">
        <v>266</v>
      </c>
      <c r="F408" s="299"/>
      <c r="G408" s="299"/>
      <c r="H408" s="293"/>
    </row>
    <row r="409" spans="1:8">
      <c r="A409" s="211" t="str">
        <f>INDEX('INV500 '!$D$3:$D$402,MATCH(WebPosting!$B409,'INV500 '!$K$3:$K$402,0))</f>
        <v xml:space="preserve">CORPORATE BONDS               </v>
      </c>
      <c r="B409" s="304">
        <v>16111812</v>
      </c>
      <c r="C409" s="247">
        <f>VLOOKUP(B409,'INV500 '!$K$3:$T$1990,10,FALSE)</f>
        <v>43440</v>
      </c>
      <c r="D409" s="295">
        <f>SUMPRODUCT('INV500 '!$V$3:$V$1990*((WebPosting!B409='INV500 '!$K$3:$K$1990)*1000)*('INV500 '!$O$3:$O$1990&lt;&gt;"M")*('INV500 '!$C$3:$C$1990=77))</f>
        <v>2500000</v>
      </c>
      <c r="E409" s="214">
        <f>VLOOKUP($B409,'INV500 '!$K$3:$U$1990,11,FALSE)/100</f>
        <v>1.6250000000000001E-2</v>
      </c>
      <c r="G409" s="214">
        <f t="shared" ref="G409:G419" si="9">($D409*$E409)/($D$395+$D$404+$D$431+$D$421)</f>
        <v>2.4472154453179123E-4</v>
      </c>
      <c r="H409" s="293"/>
    </row>
    <row r="410" spans="1:8">
      <c r="A410" s="211" t="str">
        <f>INDEX('INV500 '!$D$3:$D$402,MATCH(WebPosting!$B410,'INV500 '!$K$3:$K$402,0))</f>
        <v xml:space="preserve">CORPORATE BONDS               </v>
      </c>
      <c r="B410" s="407">
        <v>17020901</v>
      </c>
      <c r="C410" s="247">
        <f>VLOOKUP(B410,'INV500 '!$K$3:$T$1990,10,FALSE)</f>
        <v>43504</v>
      </c>
      <c r="D410" s="295">
        <f>SUMPRODUCT('INV500 '!$V$3:$V$1990*((WebPosting!B410='INV500 '!$K$3:$K$1990)*1000)*('INV500 '!$O$3:$O$1990&lt;&gt;"M")*('INV500 '!$C$3:$C$1990=77))</f>
        <v>2500000</v>
      </c>
      <c r="E410" s="214">
        <f>VLOOKUP($B410,'INV500 '!$K$3:$U$1990,11,FALSE)/100</f>
        <v>1.55E-2</v>
      </c>
      <c r="G410" s="214">
        <f t="shared" si="9"/>
        <v>2.3342670401493932E-4</v>
      </c>
      <c r="H410" s="293"/>
    </row>
    <row r="411" spans="1:8">
      <c r="A411" s="211" t="str">
        <f>INDEX('INV500 '!$D$3:$D$402,MATCH(WebPosting!$B411,'INV500 '!$K$3:$K$402,0))</f>
        <v xml:space="preserve">CORPORATE BONDS               </v>
      </c>
      <c r="B411" s="303">
        <v>16122010</v>
      </c>
      <c r="C411" s="247">
        <f>VLOOKUP(B411,'INV500 '!$K$3:$T$1990,10,FALSE)</f>
        <v>43518</v>
      </c>
      <c r="D411" s="295">
        <f>SUMPRODUCT('INV500 '!$V$3:$V$1990*((WebPosting!B411='INV500 '!$K$3:$K$1990)*1000)*('INV500 '!$O$3:$O$1990&lt;&gt;"M")*('INV500 '!$C$3:$C$1990=77))</f>
        <v>2500000</v>
      </c>
      <c r="E411" s="214">
        <f>VLOOKUP($B411,'INV500 '!$K$3:$U$1990,11,FALSE)/100</f>
        <v>1.7000000000000001E-2</v>
      </c>
      <c r="G411" s="214">
        <f t="shared" si="9"/>
        <v>2.5601638504864311E-4</v>
      </c>
      <c r="H411" s="293"/>
    </row>
    <row r="412" spans="1:8">
      <c r="A412" s="211" t="str">
        <f>INDEX('INV500 '!$D$3:$D$402,MATCH(WebPosting!$B412,'INV500 '!$K$3:$K$402,0))</f>
        <v xml:space="preserve">CORPORATE BONDS               </v>
      </c>
      <c r="B412" s="303">
        <v>17012303</v>
      </c>
      <c r="C412" s="247">
        <f>VLOOKUP(B412,'INV500 '!$K$3:$T$1990,10,FALSE)</f>
        <v>43525</v>
      </c>
      <c r="D412" s="295">
        <f>SUMPRODUCT('INV500 '!$V$3:$V$1990*((WebPosting!B412='INV500 '!$K$3:$K$1990)*1000)*('INV500 '!$O$3:$O$1990&lt;&gt;"M")*('INV500 '!$C$3:$C$1990=77))</f>
        <v>2500000</v>
      </c>
      <c r="E412" s="214">
        <f>VLOOKUP($B412,'INV500 '!$K$3:$U$1990,11,FALSE)/100</f>
        <v>1.7079999999999998E-2</v>
      </c>
      <c r="G412" s="214">
        <f t="shared" si="9"/>
        <v>2.5722116803710726E-4</v>
      </c>
      <c r="H412" s="293"/>
    </row>
    <row r="413" spans="1:8">
      <c r="A413" s="211" t="str">
        <f>INDEX('INV500 '!$D$3:$D$402,MATCH(WebPosting!$B413,'INV500 '!$K$3:$K$402,0))</f>
        <v xml:space="preserve">CORPORATE BONDS               </v>
      </c>
      <c r="B413" s="303">
        <v>17012301</v>
      </c>
      <c r="C413" s="247">
        <f>VLOOKUP(B413,'INV500 '!$K$3:$T$1990,10,FALSE)</f>
        <v>43539</v>
      </c>
      <c r="D413" s="295">
        <f>SUMPRODUCT('INV500 '!$V$3:$V$1990*((WebPosting!B413='INV500 '!$K$3:$K$1990)*1000)*('INV500 '!$O$3:$O$1990&lt;&gt;"M")*('INV500 '!$C$3:$C$1990=77))</f>
        <v>2500000</v>
      </c>
      <c r="E413" s="214">
        <f>VLOOKUP($B413,'INV500 '!$K$3:$U$1990,11,FALSE)/100</f>
        <v>1.8189999999999998E-2</v>
      </c>
      <c r="G413" s="214">
        <f t="shared" si="9"/>
        <v>2.7393753200204808E-4</v>
      </c>
      <c r="H413" s="293"/>
    </row>
    <row r="414" spans="1:8">
      <c r="A414" s="211" t="str">
        <f>INDEX('INV500 '!$D$3:$D$402,MATCH(WebPosting!$B414,'INV500 '!$K$3:$K$402,0))</f>
        <v xml:space="preserve">CORPORATE BONDS               </v>
      </c>
      <c r="B414" s="407">
        <v>17020611</v>
      </c>
      <c r="C414" s="247">
        <f>VLOOKUP(B414,'INV500 '!$K$3:$T$1990,10,FALSE)</f>
        <v>43867</v>
      </c>
      <c r="D414" s="295">
        <f>SUMPRODUCT('INV500 '!$V$3:$V$1990*((WebPosting!B414='INV500 '!$K$3:$K$1990)*1000)*('INV500 '!$O$3:$O$1990&lt;&gt;"M")*('INV500 '!$C$3:$C$1990=77))</f>
        <v>2000000</v>
      </c>
      <c r="E414" s="214">
        <f>VLOOKUP($B414,'INV500 '!$K$3:$U$1990,11,FALSE)/100</f>
        <v>1.8500000000000003E-2</v>
      </c>
      <c r="G414" s="214">
        <f t="shared" si="9"/>
        <v>2.2288485286587757E-4</v>
      </c>
      <c r="H414" s="293"/>
    </row>
    <row r="415" spans="1:8">
      <c r="A415" s="211" t="str">
        <f>INDEX('INV500 '!$D$3:$D$402,MATCH(WebPosting!$B415,'INV500 '!$K$3:$K$402,0))</f>
        <v xml:space="preserve">CORPORATE BONDS               </v>
      </c>
      <c r="B415" s="407">
        <v>17020612</v>
      </c>
      <c r="C415" s="247">
        <f>VLOOKUP(B415,'INV500 '!$K$3:$T$1990,10,FALSE)</f>
        <v>43867</v>
      </c>
      <c r="D415" s="295">
        <f>SUMPRODUCT('INV500 '!$V$3:$V$1990*((WebPosting!B415='INV500 '!$K$3:$K$1990)*1000)*('INV500 '!$O$3:$O$1990&lt;&gt;"M")*('INV500 '!$C$3:$C$1990=77))</f>
        <v>1000000</v>
      </c>
      <c r="E415" s="214">
        <f>VLOOKUP($B415,'INV500 '!$K$3:$U$1990,11,FALSE)/100</f>
        <v>1.8500000000000003E-2</v>
      </c>
      <c r="G415" s="214">
        <f t="shared" si="9"/>
        <v>1.1144242643293879E-4</v>
      </c>
      <c r="H415" s="293"/>
    </row>
    <row r="416" spans="1:8">
      <c r="A416" s="211" t="str">
        <f>INDEX('INV500 '!$D$3:$D$402,MATCH(WebPosting!$B416,'INV500 '!$K$3:$K$402,0))</f>
        <v xml:space="preserve">CORPORATE BONDS               </v>
      </c>
      <c r="B416" s="407">
        <v>17020902</v>
      </c>
      <c r="C416" s="247">
        <f>VLOOKUP(B416,'INV500 '!$K$3:$T$1990,10,FALSE)</f>
        <v>43868</v>
      </c>
      <c r="D416" s="295">
        <f>SUMPRODUCT('INV500 '!$V$3:$V$1990*((WebPosting!B416='INV500 '!$K$3:$K$1990)*1000)*('INV500 '!$O$3:$O$1990&lt;&gt;"M")*('INV500 '!$C$3:$C$1990=77))</f>
        <v>2500000</v>
      </c>
      <c r="E416" s="214">
        <f>VLOOKUP($B416,'INV500 '!$K$3:$U$1990,11,FALSE)/100</f>
        <v>1.9E-2</v>
      </c>
      <c r="G416" s="214">
        <f t="shared" si="9"/>
        <v>2.8613595976024819E-4</v>
      </c>
      <c r="H416" s="293"/>
    </row>
    <row r="417" spans="1:9">
      <c r="A417" s="211" t="str">
        <f>INDEX('INV500 '!$D$3:$D$402,MATCH(WebPosting!$B417,'INV500 '!$K$3:$K$402,0))</f>
        <v xml:space="preserve">CORPORATE BONDS               </v>
      </c>
      <c r="B417" s="303">
        <v>16122009</v>
      </c>
      <c r="C417" s="247">
        <f>VLOOKUP(B417,'INV500 '!$K$3:$T$1990,10,FALSE)</f>
        <v>44412</v>
      </c>
      <c r="D417" s="295">
        <f>SUMPRODUCT('INV500 '!$V$3:$V$1990*((WebPosting!B417='INV500 '!$K$3:$K$1990)*1000)*('INV500 '!$O$3:$O$1990&lt;&gt;"M")*('INV500 '!$C$3:$C$1990=77))</f>
        <v>2500000</v>
      </c>
      <c r="E417" s="214">
        <f>VLOOKUP($B417,'INV500 '!$K$3:$U$1990,11,FALSE)/100</f>
        <v>1.55E-2</v>
      </c>
      <c r="G417" s="214">
        <f t="shared" si="9"/>
        <v>2.3342670401493932E-4</v>
      </c>
      <c r="H417" s="293"/>
    </row>
    <row r="418" spans="1:9" ht="16.5" customHeight="1">
      <c r="A418" s="211" t="str">
        <f>INDEX('INV500 '!$D$3:$D$402,MATCH(WebPosting!$B418,'INV500 '!$K$3:$K$402,0))</f>
        <v xml:space="preserve">CORPORATE BONDS               </v>
      </c>
      <c r="B418" s="302">
        <v>16111811</v>
      </c>
      <c r="C418" s="247">
        <f>VLOOKUP(B418,'INV500 '!$K$3:$T$1990,10,FALSE)</f>
        <v>44416</v>
      </c>
      <c r="D418" s="295">
        <f>SUMPRODUCT('INV500 '!$V$3:$V$1990*((WebPosting!B418='INV500 '!$K$3:$K$1990)*1000)*('INV500 '!$O$3:$O$1990&lt;&gt;"M")*('INV500 '!$C$3:$C$1990=77))</f>
        <v>2500000</v>
      </c>
      <c r="E418" s="214">
        <f>VLOOKUP($B418,'INV500 '!$K$3:$U$1990,11,FALSE)/100</f>
        <v>1.55E-2</v>
      </c>
      <c r="G418" s="214">
        <f t="shared" si="9"/>
        <v>2.3342670401493932E-4</v>
      </c>
      <c r="H418" s="293"/>
    </row>
    <row r="419" spans="1:9" ht="16.5" customHeight="1">
      <c r="A419" s="211" t="str">
        <f>INDEX('INV500 '!$D$3:$D$402,MATCH(WebPosting!$B419,'INV500 '!$K$3:$K$402,0))</f>
        <v xml:space="preserve">CORPORATE BONDS               </v>
      </c>
      <c r="B419" s="410">
        <v>17030610</v>
      </c>
      <c r="C419" s="247">
        <f>VLOOKUP(B419,'INV500 '!$K$3:$T$1990,10,FALSE)</f>
        <v>44623</v>
      </c>
      <c r="D419" s="295">
        <f>SUMPRODUCT('INV500 '!$V$3:$V$1990*((WebPosting!B419='INV500 '!$K$3:$K$1990)*1000)*('INV500 '!$O$3:$O$1990&lt;&gt;"M")*('INV500 '!$C$3:$C$1990=77))</f>
        <v>2500000</v>
      </c>
      <c r="E419" s="214">
        <f>VLOOKUP($B419,'INV500 '!$K$3:$U$1990,11,FALSE)/100</f>
        <v>2.2499999999999999E-2</v>
      </c>
      <c r="G419" s="214">
        <f t="shared" si="9"/>
        <v>3.3884521550555708E-4</v>
      </c>
      <c r="H419" s="293"/>
    </row>
    <row r="420" spans="1:9" ht="7.5" customHeight="1">
      <c r="C420" s="247"/>
      <c r="D420" s="294"/>
      <c r="H420" s="293"/>
    </row>
    <row r="421" spans="1:9" ht="15.75" customHeight="1">
      <c r="A421" s="277" t="s">
        <v>269</v>
      </c>
      <c r="C421" s="292"/>
      <c r="D421" s="291">
        <f>SUM(D409:D419)</f>
        <v>25500000</v>
      </c>
      <c r="H421" s="293"/>
    </row>
    <row r="422" spans="1:9">
      <c r="A422" s="277"/>
      <c r="C422" s="292"/>
      <c r="D422" s="291"/>
      <c r="H422" s="293"/>
    </row>
    <row r="423" spans="1:9">
      <c r="A423" s="301"/>
      <c r="B423" s="224"/>
      <c r="D423" s="276"/>
      <c r="E423" s="275"/>
      <c r="F423" s="275"/>
      <c r="G423" s="275"/>
      <c r="H423" s="293"/>
    </row>
    <row r="424" spans="1:9" ht="18">
      <c r="A424" s="436" t="s">
        <v>268</v>
      </c>
      <c r="B424" s="436"/>
      <c r="C424" s="436"/>
      <c r="D424" s="436"/>
      <c r="E424" s="436"/>
      <c r="F424" s="274"/>
      <c r="G424" s="274"/>
      <c r="H424" s="293"/>
    </row>
    <row r="425" spans="1:9">
      <c r="A425" s="273" t="s">
        <v>258</v>
      </c>
      <c r="B425" s="272"/>
      <c r="C425" s="300" t="s">
        <v>267</v>
      </c>
      <c r="D425" s="270" t="s">
        <v>257</v>
      </c>
      <c r="E425" s="299" t="s">
        <v>266</v>
      </c>
      <c r="F425" s="299"/>
      <c r="G425" s="299"/>
      <c r="H425" s="293"/>
    </row>
    <row r="426" spans="1:9">
      <c r="A426" s="211" t="str">
        <f>INDEX('INV500 '!$D$3:$D$402,MATCH(WebPosting!$B426,'INV500 '!$K$3:$K$402,0))</f>
        <v xml:space="preserve">STATE OF ISRAEL BONDS         </v>
      </c>
      <c r="B426" s="298">
        <v>15020310</v>
      </c>
      <c r="C426" s="247">
        <f>VLOOKUP(B426,'INV500 '!$K$3:$T$1990,10,FALSE)</f>
        <v>43132</v>
      </c>
      <c r="D426" s="295">
        <f>SUMPRODUCT('INV500 '!$V$3:$V$1990*((WebPosting!B426='INV500 '!$K$3:$K$1990)*1000)*('INV500 '!$O$3:$O$1990&lt;&gt;"M")*('INV500 '!$C$3:$C$1990=95))</f>
        <v>10000000</v>
      </c>
      <c r="E426" s="214">
        <f>VLOOKUP($B426,'INV500 '!$K$3:$U$1990,11,FALSE)/100</f>
        <v>1.8100000000000002E-2</v>
      </c>
      <c r="G426" s="214">
        <f>($D426*$E426)/($D$395+$D$404+$D$431+$D$421)</f>
        <v>1.0903286045601038E-3</v>
      </c>
    </row>
    <row r="427" spans="1:9">
      <c r="A427" s="211" t="str">
        <f>INDEX('INV500 '!$D$3:$D$402,MATCH(WebPosting!$B427,'INV500 '!$K$3:$K$402,0))</f>
        <v xml:space="preserve">STATE OF ISRAEL BONDS         </v>
      </c>
      <c r="B427" s="297">
        <v>16081510</v>
      </c>
      <c r="C427" s="247">
        <f>VLOOKUP(B427,'INV500 '!$K$3:$T$1990,10,FALSE)</f>
        <v>43313</v>
      </c>
      <c r="D427" s="295">
        <f>SUMPRODUCT('INV500 '!$V$3:$V$1990*((WebPosting!B427='INV500 '!$K$3:$K$1990)*1000)*('INV500 '!$O$3:$O$1990&lt;&gt;"M")*('INV500 '!$C$3:$C$1990=95))</f>
        <v>10000000</v>
      </c>
      <c r="E427" s="214">
        <f>VLOOKUP($B427,'INV500 '!$K$3:$U$1990,11,FALSE)/100</f>
        <v>1.525E-2</v>
      </c>
      <c r="G427" s="214">
        <f>($D427*$E427)/($D$395+$D$404+$D$431+$D$421)</f>
        <v>9.1864702870395466E-4</v>
      </c>
      <c r="H427" s="293"/>
    </row>
    <row r="428" spans="1:9">
      <c r="A428" s="211" t="str">
        <f>INDEX('INV500 '!$D$3:$D$402,MATCH(WebPosting!$B428,'INV500 '!$K$3:$K$402,0))</f>
        <v xml:space="preserve">STATE OF ISRAEL BONDS         </v>
      </c>
      <c r="B428" s="296">
        <v>16050220</v>
      </c>
      <c r="C428" s="247">
        <f>VLOOKUP(B428,'INV500 '!$K$3:$T$1990,10,FALSE)</f>
        <v>43525</v>
      </c>
      <c r="D428" s="295">
        <f>SUMPRODUCT('INV500 '!$V$3:$V$1990*((WebPosting!B428='INV500 '!$K$3:$K$1990)*1000)*('INV500 '!$O$3:$O$1990&lt;&gt;"M")*('INV500 '!$C$3:$C$1990=95))</f>
        <v>10000000</v>
      </c>
      <c r="E428" s="214">
        <f>VLOOKUP($B428,'INV500 '!$K$3:$U$1990,11,FALSE)/100</f>
        <v>2.0400000000000001E-2</v>
      </c>
      <c r="G428" s="214">
        <f>($D428*$E428)/($D$395+$D$404+$D$431+$D$421)</f>
        <v>1.2288786482334872E-3</v>
      </c>
      <c r="H428" s="293"/>
    </row>
    <row r="429" spans="1:9">
      <c r="A429" s="211" t="str">
        <f>INDEX('INV500 '!$D$3:$D$402,MATCH(WebPosting!$B429,'INV500 '!$K$3:$K$402,0))</f>
        <v xml:space="preserve">STATE OF ISRAEL BONDS         </v>
      </c>
      <c r="B429" s="400">
        <v>17030104</v>
      </c>
      <c r="C429" s="247">
        <f>VLOOKUP(B429,'INV500 '!$K$3:$T$1990,10,FALSE)</f>
        <v>43891</v>
      </c>
      <c r="D429" s="295">
        <f>SUMPRODUCT('INV500 '!$V$3:$V$1990*((WebPosting!B429='INV500 '!$K$3:$K$1990)*1000)*('INV500 '!$O$3:$O$1990&lt;&gt;"M")*('INV500 '!$C$3:$C$1990=95))</f>
        <v>10000000</v>
      </c>
      <c r="E429" s="214">
        <f>VLOOKUP($B429,'INV500 '!$K$3:$U$1990,11,FALSE)/100</f>
        <v>2.6699999999999998E-2</v>
      </c>
      <c r="G429" s="214">
        <f>($D429*$E429)/($D$395+$D$404+$D$431+$D$421)</f>
        <v>1.6083852895997109E-3</v>
      </c>
      <c r="H429" s="293"/>
    </row>
    <row r="430" spans="1:9" ht="7.5" customHeight="1">
      <c r="B430" s="392"/>
      <c r="C430" s="247"/>
      <c r="D430" s="294"/>
      <c r="H430" s="293"/>
    </row>
    <row r="431" spans="1:9">
      <c r="A431" s="277" t="s">
        <v>265</v>
      </c>
      <c r="C431" s="292"/>
      <c r="D431" s="291">
        <f>SUM(D426:D429)</f>
        <v>40000000</v>
      </c>
      <c r="H431" s="293"/>
    </row>
    <row r="432" spans="1:9" ht="15.75" customHeight="1">
      <c r="A432" s="277"/>
      <c r="C432" s="292"/>
      <c r="D432" s="291"/>
      <c r="I432" s="212" t="s">
        <v>262</v>
      </c>
    </row>
    <row r="433" spans="1:10" ht="15.75" customHeight="1">
      <c r="C433" s="290"/>
      <c r="D433" s="245"/>
    </row>
    <row r="434" spans="1:10" ht="15.75" customHeight="1">
      <c r="A434" s="436" t="s">
        <v>264</v>
      </c>
      <c r="B434" s="436"/>
      <c r="C434" s="436"/>
      <c r="D434" s="436"/>
      <c r="E434" s="436"/>
      <c r="F434" s="274"/>
      <c r="G434" s="274"/>
    </row>
    <row r="435" spans="1:10" ht="15.75" customHeight="1">
      <c r="A435" s="273" t="s">
        <v>258</v>
      </c>
      <c r="B435" s="272"/>
      <c r="C435" s="271"/>
      <c r="D435" s="270" t="s">
        <v>257</v>
      </c>
      <c r="E435" s="288"/>
      <c r="F435" s="288"/>
      <c r="G435" s="288"/>
      <c r="H435" s="287"/>
      <c r="I435" s="236"/>
      <c r="J435" s="236"/>
    </row>
    <row r="436" spans="1:10" ht="19.5" customHeight="1">
      <c r="A436" s="280" t="str">
        <f>INDEX('INV500 '!$H$3:$H$402,MATCH(WebPosting!$B436,'INV500 '!$K$3:$K$402,0))</f>
        <v xml:space="preserve">APEX VENTURE PARTNERS         </v>
      </c>
      <c r="B436" s="286">
        <v>6060718</v>
      </c>
      <c r="D436" s="279">
        <f>SUMPRODUCT('INV500 '!$W$3:$W$1990*((WebPosting!B436='INV500 '!$K$3:$K$1990))*('INV500 '!$O$3:$O$1990&lt;&gt;"M")*('INV500 '!$C$3:$C$1990=98))</f>
        <v>2945578.34</v>
      </c>
      <c r="E436" s="284"/>
      <c r="F436" s="284"/>
      <c r="G436" s="284"/>
      <c r="H436" s="287"/>
      <c r="I436" s="236"/>
      <c r="J436" s="236"/>
    </row>
    <row r="437" spans="1:10" ht="15.75" customHeight="1">
      <c r="A437" s="235" t="str">
        <f>INDEX('INV500 '!$H$3:$H$402,MATCH(WebPosting!$B437,'INV500 '!$K$3:$K$402,0))</f>
        <v xml:space="preserve">BAIRD VENTURE PARTNERS III    </v>
      </c>
      <c r="B437" s="286">
        <v>8070713</v>
      </c>
      <c r="C437" s="271"/>
      <c r="D437" s="279">
        <f>SUMPRODUCT('INV500 '!$W$3:$W$1990*((WebPosting!B437='INV500 '!$K$3:$K$1990))*('INV500 '!$O$3:$O$1990&lt;&gt;"M")*('INV500 '!$C$3:$C$1990=98))</f>
        <v>4165075.11</v>
      </c>
      <c r="E437" s="289"/>
      <c r="F437" s="289"/>
      <c r="G437" s="289"/>
      <c r="H437" s="237"/>
    </row>
    <row r="438" spans="1:10" ht="15.75" customHeight="1">
      <c r="A438" s="280" t="str">
        <f>INDEX('INV500 '!$H$3:$H$402,MATCH(WebPosting!$B438,'INV500 '!$K$3:$K$402,0))</f>
        <v>BEECKEN PETTY O'KEEFE FD II LP</v>
      </c>
      <c r="B438" s="286">
        <v>5062922</v>
      </c>
      <c r="D438" s="279">
        <f>SUMPRODUCT('INV500 '!$W$3:$W$1990*((WebPosting!B438='INV500 '!$K$3:$K$1990))*('INV500 '!$O$3:$O$1990&lt;&gt;"M")*('INV500 '!$C$3:$C$1990=98))</f>
        <v>829904.94</v>
      </c>
      <c r="E438" s="284"/>
      <c r="F438" s="284"/>
      <c r="G438" s="284"/>
      <c r="H438" s="287"/>
      <c r="I438" s="236"/>
      <c r="J438" s="236"/>
    </row>
    <row r="439" spans="1:10" ht="15.75" customHeight="1">
      <c r="A439" s="280" t="str">
        <f>INDEX('INV500 '!$H$3:$H$402,MATCH(WebPosting!$B439,'INV500 '!$K$3:$K$402,0))</f>
        <v xml:space="preserve">CERES VENTURE FUND,L.P.       </v>
      </c>
      <c r="B439" s="286">
        <v>7012519</v>
      </c>
      <c r="D439" s="279">
        <f>SUMPRODUCT('INV500 '!$W$3:$W$1990*((WebPosting!B439='INV500 '!$K$3:$K$1990))*('INV500 '!$O$3:$O$1990&lt;&gt;"M")*('INV500 '!$C$3:$C$1990=98))</f>
        <v>280790</v>
      </c>
      <c r="E439" s="284"/>
      <c r="F439" s="284"/>
      <c r="G439" s="284"/>
      <c r="H439" s="237"/>
    </row>
    <row r="440" spans="1:10" ht="15.75" customHeight="1">
      <c r="A440" s="280" t="str">
        <f>INDEX('INV500 '!$H$3:$H$402,MATCH(WebPosting!$B440,'INV500 '!$K$3:$K$402,0))</f>
        <v xml:space="preserve">ILL EMERGING TECHNOLOGY FUND  </v>
      </c>
      <c r="B440" s="286">
        <v>5062920</v>
      </c>
      <c r="D440" s="279">
        <f>SUMPRODUCT('INV500 '!$W$3:$W$1990*((WebPosting!B440='INV500 '!$K$3:$K$1990))*('INV500 '!$O$3:$O$1990&lt;&gt;"M")*('INV500 '!$C$3:$C$1990=98))</f>
        <v>867716.82</v>
      </c>
      <c r="E440" s="284"/>
      <c r="F440" s="284"/>
      <c r="G440" s="284"/>
      <c r="H440" s="237"/>
    </row>
    <row r="441" spans="1:10" ht="15.75" customHeight="1">
      <c r="A441" s="235" t="str">
        <f>INDEX('INV500 '!$H$3:$H$402,MATCH(WebPosting!$B441,'INV500 '!$K$3:$K$402,0))</f>
        <v xml:space="preserve">ILL EMERGING TECHNOLOGY FD II </v>
      </c>
      <c r="B441" s="286">
        <v>9062601</v>
      </c>
      <c r="C441" s="271"/>
      <c r="D441" s="279">
        <f>SUMPRODUCT('INV500 '!$W$3:$W$1990*((WebPosting!B441='INV500 '!$K$3:$K$1990))*('INV500 '!$O$3:$O$1990&lt;&gt;"M")*('INV500 '!$C$3:$C$1990=98))</f>
        <v>1443408</v>
      </c>
      <c r="E441" s="289"/>
      <c r="F441" s="289"/>
      <c r="G441" s="289"/>
      <c r="H441" s="237"/>
    </row>
    <row r="442" spans="1:10" ht="15.75" customHeight="1">
      <c r="A442" s="235" t="str">
        <f>INDEX('INV500 '!$H$3:$H$402,MATCH(WebPosting!$B442,'INV500 '!$K$3:$K$402,0))</f>
        <v xml:space="preserve">ILL INNOVATION ACCELERATOR FD </v>
      </c>
      <c r="B442" s="286">
        <v>8030307</v>
      </c>
      <c r="D442" s="279">
        <f>SUMPRODUCT('INV500 '!$W$3:$W$1990*((WebPosting!B442='INV500 '!$K$3:$K$1990))*('INV500 '!$O$3:$O$1990&lt;&gt;"M")*('INV500 '!$C$3:$C$1990=98))</f>
        <v>531618.13</v>
      </c>
      <c r="E442" s="284"/>
      <c r="F442" s="284"/>
      <c r="G442" s="284"/>
      <c r="H442" s="287"/>
      <c r="I442" s="236"/>
      <c r="J442" s="236"/>
    </row>
    <row r="443" spans="1:10" ht="15.75" customHeight="1">
      <c r="A443" s="280" t="str">
        <f>INDEX('INV500 '!$H$3:$H$402,MATCH(WebPosting!$B443,'INV500 '!$K$3:$K$402,0))</f>
        <v xml:space="preserve">JK &amp; B CAPITAL V, L.P.        </v>
      </c>
      <c r="B443" s="286">
        <v>7042715</v>
      </c>
      <c r="D443" s="279">
        <f>SUMPRODUCT('INV500 '!$W$3:$W$1990*((WebPosting!B443='INV500 '!$K$3:$K$1990))*('INV500 '!$O$3:$O$1990&lt;&gt;"M")*('INV500 '!$C$3:$C$1990=98))</f>
        <v>2677458.9900000002</v>
      </c>
      <c r="E443" s="284"/>
      <c r="F443" s="284"/>
      <c r="G443" s="284"/>
      <c r="H443" s="287"/>
      <c r="I443" s="236"/>
      <c r="J443" s="236"/>
    </row>
    <row r="444" spans="1:10" ht="15.75" customHeight="1">
      <c r="A444" s="235" t="str">
        <f>INDEX('INV500 '!$H$3:$H$402,MATCH(WebPosting!$B444,'INV500 '!$K$3:$K$402,0))</f>
        <v xml:space="preserve">MK CAPITAL II LP              </v>
      </c>
      <c r="B444" s="286">
        <v>10052521</v>
      </c>
      <c r="C444" s="271"/>
      <c r="D444" s="279">
        <f>SUMPRODUCT('INV500 '!$W$3:$W$1990*((WebPosting!B444='INV500 '!$K$3:$K$1990))*('INV500 '!$O$3:$O$1990&lt;&gt;"M")*('INV500 '!$C$3:$C$1990=98))</f>
        <v>3735496.6</v>
      </c>
      <c r="E444" s="289"/>
      <c r="F444" s="289"/>
      <c r="G444" s="289"/>
      <c r="H444" s="237"/>
    </row>
    <row r="445" spans="1:10" ht="15.75" customHeight="1">
      <c r="A445" s="280" t="str">
        <f>INDEX('INV500 '!$H$3:$H$402,MATCH(WebPosting!$B445,'INV500 '!$K$3:$K$402,0))</f>
        <v xml:space="preserve">MK CAPITAL, LP                </v>
      </c>
      <c r="B445" s="286">
        <v>5062921</v>
      </c>
      <c r="D445" s="279">
        <f>SUMPRODUCT('INV500 '!$W$3:$W$1990*((WebPosting!B445='INV500 '!$K$3:$K$1990))*('INV500 '!$O$3:$O$1990&lt;&gt;"M")*('INV500 '!$C$3:$C$1990=98))</f>
        <v>1015385</v>
      </c>
      <c r="E445" s="284"/>
      <c r="F445" s="284"/>
      <c r="G445" s="284"/>
      <c r="H445" s="287"/>
      <c r="I445" s="236"/>
      <c r="J445" s="236"/>
    </row>
    <row r="446" spans="1:10" ht="15.75" customHeight="1">
      <c r="A446" s="235" t="str">
        <f>INDEX('INV500 '!$H$3:$H$402,MATCH(WebPosting!$B446,'INV500 '!$K$3:$K$402,0))</f>
        <v xml:space="preserve">MVC GP II,LLC                 </v>
      </c>
      <c r="B446" s="286">
        <v>11121317</v>
      </c>
      <c r="C446" s="271"/>
      <c r="D446" s="279">
        <f>SUMPRODUCT('INV500 '!$W$3:$W$1990*((WebPosting!B446='INV500 '!$K$3:$K$1990))*('INV500 '!$O$3:$O$1990&lt;&gt;"M")*('INV500 '!$C$3:$C$1990=98))</f>
        <v>698968.87</v>
      </c>
      <c r="E446" s="288"/>
      <c r="F446" s="288"/>
      <c r="G446" s="288"/>
      <c r="H446" s="237"/>
    </row>
    <row r="447" spans="1:10" ht="15.75" customHeight="1">
      <c r="A447" s="280" t="str">
        <f>INDEX('INV500 '!$H$3:$H$402,MATCH(WebPosting!$B447,'INV500 '!$K$3:$K$402,0))</f>
        <v xml:space="preserve">OCA VENTURE PARTNERS II, L.P. </v>
      </c>
      <c r="B447" s="286">
        <v>7042507</v>
      </c>
      <c r="D447" s="279">
        <f>SUMPRODUCT('INV500 '!$W$3:$W$1990*((WebPosting!B447='INV500 '!$K$3:$K$1990))*('INV500 '!$O$3:$O$1990&lt;&gt;"M")*('INV500 '!$C$3:$C$1990=98))</f>
        <v>3082213.03</v>
      </c>
      <c r="E447" s="284"/>
      <c r="F447" s="284"/>
      <c r="G447" s="284"/>
      <c r="H447" s="287"/>
      <c r="I447" s="236"/>
      <c r="J447" s="236"/>
    </row>
    <row r="448" spans="1:10" ht="15.75" customHeight="1">
      <c r="A448" s="280" t="str">
        <f>INDEX('INV500 '!$H$3:$H$402,MATCH(WebPosting!$B448,'INV500 '!$K$3:$K$402,0))</f>
        <v xml:space="preserve">OPEN PRAIRIE VENTURES II, LP  </v>
      </c>
      <c r="B448" s="286">
        <v>8021314</v>
      </c>
      <c r="D448" s="279">
        <f>SUMPRODUCT('INV500 '!$W$3:$W$1990*((WebPosting!B448='INV500 '!$K$3:$K$1990))*('INV500 '!$O$3:$O$1990&lt;&gt;"M")*('INV500 '!$C$3:$C$1990=98))</f>
        <v>1786499.41</v>
      </c>
      <c r="E448" s="284"/>
      <c r="F448" s="284"/>
      <c r="G448" s="284"/>
      <c r="H448" s="237"/>
    </row>
    <row r="449" spans="1:10" ht="15.75" customHeight="1">
      <c r="A449" s="235" t="str">
        <f>INDEX('INV500 '!$H$3:$H$402,MATCH(WebPosting!$B449,'INV500 '!$K$3:$K$402,0))</f>
        <v xml:space="preserve">PATRIOT CAPITAL II, LP        </v>
      </c>
      <c r="B449" s="286">
        <v>8010408</v>
      </c>
      <c r="D449" s="279">
        <f>SUMPRODUCT('INV500 '!$W$3:$W$1990*((WebPosting!B449='INV500 '!$K$3:$K$1990))*('INV500 '!$O$3:$O$1990&lt;&gt;"M")*('INV500 '!$C$3:$C$1990=98))</f>
        <v>2841992.48</v>
      </c>
      <c r="E449" s="284"/>
      <c r="F449" s="284"/>
      <c r="G449" s="284"/>
      <c r="H449" s="237"/>
    </row>
    <row r="450" spans="1:10" ht="15.75" customHeight="1">
      <c r="A450" s="235" t="str">
        <f>INDEX('INV500 '!$H$3:$H$402,MATCH(WebPosting!$B450,'INV500 '!$K$3:$K$402,0))</f>
        <v xml:space="preserve">PRAIRIE CAPITAL V, LP         </v>
      </c>
      <c r="B450" s="286">
        <v>10111001</v>
      </c>
      <c r="C450" s="271"/>
      <c r="D450" s="279">
        <f>SUMPRODUCT('INV500 '!$W$3:$W$1990*((WebPosting!B450='INV500 '!$K$3:$K$1990))*('INV500 '!$O$3:$O$1990&lt;&gt;"M")*('INV500 '!$C$3:$C$1990=98))</f>
        <v>1348373.87</v>
      </c>
      <c r="E450" s="288"/>
      <c r="F450" s="288"/>
      <c r="G450" s="288"/>
      <c r="H450" s="237"/>
    </row>
    <row r="451" spans="1:10" ht="15.75" customHeight="1">
      <c r="A451" s="235" t="str">
        <f>INDEX('INV500 '!$H$3:$H$402,MATCH(WebPosting!$B451,'INV500 '!$K$3:$K$402,0))</f>
        <v>STERLING SMALL MKT GROWTH 2009</v>
      </c>
      <c r="B451" s="286">
        <v>10110201</v>
      </c>
      <c r="C451" s="271"/>
      <c r="D451" s="279">
        <f>SUMPRODUCT('INV500 '!$W$3:$W$1990*((WebPosting!B451='INV500 '!$K$3:$K$1990))*('INV500 '!$O$3:$O$1990&lt;&gt;"M")*('INV500 '!$C$3:$C$1990=98))</f>
        <v>2985934</v>
      </c>
      <c r="E451" s="288"/>
      <c r="F451" s="288"/>
      <c r="G451" s="288"/>
      <c r="H451" s="287"/>
      <c r="I451" s="236"/>
      <c r="J451" s="236"/>
    </row>
    <row r="452" spans="1:10" ht="15.75" customHeight="1">
      <c r="A452" s="280" t="str">
        <f>INDEX('INV500 '!$H$3:$H$402,MATCH(WebPosting!$B452,'INV500 '!$K$3:$K$402,0))</f>
        <v xml:space="preserve">STERLING VENTURE PARTNERS II  </v>
      </c>
      <c r="B452" s="286">
        <v>5120205</v>
      </c>
      <c r="D452" s="279">
        <f>SUMPRODUCT('INV500 '!$W$3:$W$1990*((WebPosting!B452='INV500 '!$K$3:$K$1990))*('INV500 '!$O$3:$O$1990&lt;&gt;"M")*('INV500 '!$C$3:$C$1990=98))</f>
        <v>2557699</v>
      </c>
      <c r="E452" s="284"/>
      <c r="F452" s="284"/>
      <c r="G452" s="284"/>
      <c r="H452" s="287"/>
      <c r="I452" s="236"/>
      <c r="J452" s="236"/>
    </row>
    <row r="453" spans="1:10" ht="15.75" customHeight="1">
      <c r="A453" s="235" t="str">
        <f>INDEX('INV500 '!$H$3:$H$402,MATCH(WebPosting!$B453,'INV500 '!$K$3:$K$402,0))</f>
        <v xml:space="preserve">SVOBODA, COLLINS LLC          </v>
      </c>
      <c r="B453" s="286">
        <v>8013009</v>
      </c>
      <c r="D453" s="279">
        <f>SUMPRODUCT('INV500 '!$W$3:$W$1990*((WebPosting!B453='INV500 '!$K$3:$K$1990))*('INV500 '!$O$3:$O$1990&lt;&gt;"M")*('INV500 '!$C$3:$C$1990=98))</f>
        <v>1508593.89</v>
      </c>
      <c r="E453" s="284"/>
      <c r="F453" s="284"/>
      <c r="G453" s="284"/>
      <c r="H453" s="237"/>
    </row>
    <row r="454" spans="1:10" ht="7.5" customHeight="1">
      <c r="A454" s="280"/>
      <c r="B454" s="286"/>
      <c r="D454" s="285"/>
      <c r="E454" s="284"/>
      <c r="F454" s="284"/>
      <c r="G454" s="284"/>
      <c r="H454" s="237"/>
    </row>
    <row r="455" spans="1:10" ht="12.75" customHeight="1">
      <c r="A455" s="277" t="s">
        <v>263</v>
      </c>
      <c r="D455" s="246">
        <f>SUM(D436:D454)</f>
        <v>35302706.480000004</v>
      </c>
      <c r="E455" s="275"/>
      <c r="F455" s="275"/>
      <c r="G455" s="275"/>
      <c r="H455" s="237"/>
    </row>
    <row r="456" spans="1:10" ht="15.75" customHeight="1">
      <c r="A456" s="277"/>
      <c r="D456" s="246"/>
      <c r="E456" s="275"/>
      <c r="F456" s="275"/>
      <c r="G456" s="275"/>
      <c r="I456" s="212" t="s">
        <v>262</v>
      </c>
    </row>
    <row r="457" spans="1:10" ht="15.75" customHeight="1">
      <c r="A457" s="277"/>
      <c r="D457" s="246"/>
      <c r="E457" s="275"/>
      <c r="F457" s="275"/>
      <c r="G457" s="275"/>
    </row>
    <row r="458" spans="1:10" ht="15.75" customHeight="1">
      <c r="A458" s="436" t="s">
        <v>261</v>
      </c>
      <c r="B458" s="436"/>
      <c r="C458" s="436"/>
      <c r="D458" s="436"/>
      <c r="E458" s="436"/>
      <c r="F458" s="274"/>
      <c r="G458" s="274"/>
    </row>
    <row r="459" spans="1:10" ht="15.75" customHeight="1">
      <c r="A459" s="273" t="s">
        <v>258</v>
      </c>
      <c r="B459" s="272"/>
      <c r="C459" s="271"/>
      <c r="D459" s="270" t="s">
        <v>257</v>
      </c>
      <c r="E459" s="275"/>
      <c r="F459" s="275"/>
      <c r="G459" s="275"/>
    </row>
    <row r="460" spans="1:10" ht="15.75" customHeight="1">
      <c r="A460" s="280" t="str">
        <f>INDEX('INV500 '!$H$3:$H$402,MATCH(WebPosting!$B460,'INV500 '!$K$3:$K$402,0))</f>
        <v xml:space="preserve">GREAT POINT VENTURES          </v>
      </c>
      <c r="B460" s="283">
        <v>16120216</v>
      </c>
      <c r="D460" s="279">
        <f>SUMPRODUCT('INV500 '!$W$3:$W$1990*((WebPosting!B460='INV500 '!$K$3:$K$1990))*('INV500 '!$O$3:$O$1990&lt;&gt;"M")*('INV500 '!$C$3:$C$1990=99))</f>
        <v>3375807.61</v>
      </c>
      <c r="E460" s="275"/>
      <c r="F460" s="275"/>
      <c r="G460" s="275"/>
    </row>
    <row r="461" spans="1:10" ht="15.75" customHeight="1">
      <c r="A461" s="280" t="str">
        <f>INDEX('INV500 '!$H$3:$H$402,MATCH(WebPosting!$B461,'INV500 '!$K$3:$K$402,0))</f>
        <v xml:space="preserve">MADISON DEARBORN PARTNERS     </v>
      </c>
      <c r="B461" s="282">
        <v>17010520</v>
      </c>
      <c r="D461" s="279">
        <f>SUMPRODUCT('INV500 '!$W$3:$W$1990*((WebPosting!B461='INV500 '!$K$3:$K$1990))*('INV500 '!$O$3:$O$1990&lt;&gt;"M")*('INV500 '!$C$3:$C$1990=99))</f>
        <v>1064613</v>
      </c>
      <c r="E461" s="275"/>
      <c r="F461" s="275"/>
      <c r="G461" s="275"/>
    </row>
    <row r="462" spans="1:10" ht="15.75" customHeight="1">
      <c r="A462" s="280" t="str">
        <f>INDEX('INV500 '!$H$3:$H$402,MATCH(WebPosting!$B462,'INV500 '!$K$3:$K$402,0))</f>
        <v xml:space="preserve">CHICAGO VENTURES              </v>
      </c>
      <c r="B462" s="282">
        <v>17010417</v>
      </c>
      <c r="D462" s="279">
        <f>SUMPRODUCT('INV500 '!$W$3:$W$1990*((WebPosting!B462='INV500 '!$K$3:$K$1990))*('INV500 '!$O$3:$O$1990&lt;&gt;"M")*('INV500 '!$C$3:$C$1990=99))</f>
        <v>4139100</v>
      </c>
      <c r="E462" s="275"/>
      <c r="F462" s="275"/>
      <c r="G462" s="275"/>
    </row>
    <row r="463" spans="1:10" ht="15.75" customHeight="1">
      <c r="A463" s="280" t="str">
        <f>INDEX('INV500 '!$H$3:$H$402,MATCH(WebPosting!$B463,'INV500 '!$K$3:$K$402,0))</f>
        <v xml:space="preserve">HYDE PARK VENTURE PARTNERS    </v>
      </c>
      <c r="B463" s="281">
        <v>16090811</v>
      </c>
      <c r="D463" s="279">
        <f>SUMPRODUCT('INV500 '!$W$3:$W$1990*((WebPosting!B463='INV500 '!$K$3:$K$1990))*('INV500 '!$O$3:$O$1990&lt;&gt;"M")*('INV500 '!$C$3:$C$1990=99))</f>
        <v>819553</v>
      </c>
      <c r="E463" s="275"/>
      <c r="F463" s="275"/>
      <c r="G463" s="275"/>
    </row>
    <row r="464" spans="1:10" ht="15.75" customHeight="1">
      <c r="A464" s="280" t="str">
        <f>INDEX('INV500 '!$H$3:$H$402,MATCH(WebPosting!$B464,'INV500 '!$K$3:$K$402,0))</f>
        <v xml:space="preserve">CORAZON                       </v>
      </c>
      <c r="B464" s="362">
        <v>17011222</v>
      </c>
      <c r="D464" s="279">
        <f>SUMPRODUCT('INV500 '!$W$3:$W$1990*((WebPosting!B464='INV500 '!$K$3:$K$1990))*('INV500 '!$O$3:$O$1990&lt;&gt;"M")*('INV500 '!$C$3:$C$1990=99))</f>
        <v>500000</v>
      </c>
      <c r="E464" s="275"/>
      <c r="F464" s="275"/>
      <c r="G464" s="275"/>
    </row>
    <row r="465" spans="1:10" ht="15.75" customHeight="1">
      <c r="A465" s="280" t="str">
        <f>INDEX('INV500 '!$H$3:$H$402,MATCH(WebPosting!$B465,'INV500 '!$K$3:$K$402,0))</f>
        <v xml:space="preserve">MODERNE VENTURES FUND I       </v>
      </c>
      <c r="B465" s="398">
        <v>17030621</v>
      </c>
      <c r="D465" s="279">
        <f>SUMPRODUCT('INV500 '!$W$3:$W$1990*((WebPosting!B465='INV500 '!$K$3:$K$1990))*('INV500 '!$O$3:$O$1990&lt;&gt;"M")*('INV500 '!$C$3:$C$1990=99))</f>
        <v>472799.71</v>
      </c>
      <c r="E465" s="275"/>
      <c r="F465" s="275"/>
      <c r="G465" s="275"/>
    </row>
    <row r="466" spans="1:10">
      <c r="A466" s="277"/>
      <c r="D466" s="278"/>
      <c r="E466" s="275"/>
      <c r="F466" s="275"/>
      <c r="G466" s="275"/>
    </row>
    <row r="467" spans="1:10" ht="13.5" customHeight="1">
      <c r="A467" s="277" t="s">
        <v>260</v>
      </c>
      <c r="D467" s="246">
        <f>SUM(D459:D466)</f>
        <v>10371873.32</v>
      </c>
      <c r="E467" s="275"/>
      <c r="F467" s="275"/>
      <c r="G467" s="275"/>
    </row>
    <row r="468" spans="1:10" ht="15.75" customHeight="1">
      <c r="A468" s="277"/>
      <c r="D468" s="246"/>
      <c r="E468" s="275"/>
      <c r="F468" s="275"/>
      <c r="G468" s="275"/>
    </row>
    <row r="469" spans="1:10" ht="15.75" customHeight="1">
      <c r="D469" s="276"/>
      <c r="E469" s="275"/>
      <c r="F469" s="275"/>
      <c r="G469" s="275"/>
    </row>
    <row r="470" spans="1:10" ht="15.75" customHeight="1">
      <c r="A470" s="436" t="s">
        <v>259</v>
      </c>
      <c r="B470" s="436"/>
      <c r="C470" s="436"/>
      <c r="D470" s="436"/>
      <c r="E470" s="436"/>
      <c r="F470" s="274"/>
      <c r="G470" s="274"/>
    </row>
    <row r="471" spans="1:10" ht="15.75" customHeight="1">
      <c r="A471" s="273" t="s">
        <v>258</v>
      </c>
      <c r="B471" s="272"/>
      <c r="C471" s="271"/>
      <c r="D471" s="270" t="s">
        <v>257</v>
      </c>
      <c r="E471" s="269"/>
      <c r="F471" s="268" t="s">
        <v>256</v>
      </c>
      <c r="G471" s="267">
        <f>SUM(G473:G506)</f>
        <v>6.0946914160211465E-3</v>
      </c>
      <c r="H471" s="237"/>
      <c r="I471" s="236"/>
      <c r="J471" s="236"/>
    </row>
    <row r="472" spans="1:10" ht="15.75" customHeight="1">
      <c r="A472" s="211" t="s">
        <v>255</v>
      </c>
      <c r="C472" s="247"/>
      <c r="D472" s="266">
        <f>SUM(D473:D499)</f>
        <v>1300794112.4300003</v>
      </c>
      <c r="F472" s="265" t="s">
        <v>254</v>
      </c>
      <c r="G472" s="264">
        <f>H473</f>
        <v>7.5300000000000002E-3</v>
      </c>
      <c r="I472" s="236"/>
      <c r="J472" s="236"/>
    </row>
    <row r="473" spans="1:10" hidden="1" outlineLevel="1">
      <c r="A473" s="257" t="str">
        <f>INDEX('INV500 '!$F$3:$F$402,MATCH(WebPosting!$B473,'INV500 '!$K$3:$K$402,0))</f>
        <v xml:space="preserve">REGULAR - IPTIP               </v>
      </c>
      <c r="B473" s="217">
        <v>8070306</v>
      </c>
      <c r="C473" s="247"/>
      <c r="D473" s="248">
        <f>SUMPRODUCT('INV500 '!$W$3:$W$1990*((WebPosting!B473='INV500 '!$K$3:$K$1990))*('INV500 '!$O$3:$O$1990&lt;&gt;"M")*('INV500 '!$C$3:$C$1990=40))</f>
        <v>543000000</v>
      </c>
      <c r="G473" s="214">
        <f t="shared" ref="G473:G499" si="10">($D$472*H474)</f>
        <v>0</v>
      </c>
      <c r="H473" s="263">
        <v>7.5300000000000002E-3</v>
      </c>
      <c r="I473" s="256" t="s">
        <v>254</v>
      </c>
      <c r="J473" s="256"/>
    </row>
    <row r="474" spans="1:10" hidden="1" outlineLevel="1">
      <c r="A474" s="257" t="s">
        <v>253</v>
      </c>
      <c r="B474" s="217" t="s">
        <v>244</v>
      </c>
      <c r="C474" s="247"/>
      <c r="D474" s="262">
        <v>0</v>
      </c>
      <c r="G474" s="214">
        <f t="shared" si="10"/>
        <v>0</v>
      </c>
      <c r="H474" s="214"/>
      <c r="I474" s="256"/>
      <c r="J474" s="256"/>
    </row>
    <row r="475" spans="1:10" hidden="1" outlineLevel="1">
      <c r="A475" s="257" t="str">
        <f>INDEX('INV500 '!$F$3:$F$402,MATCH(WebPosting!$B475,'INV500 '!$K$3:$K$402,0))</f>
        <v xml:space="preserve">THWY-EPAY-IPTIP               </v>
      </c>
      <c r="B475" s="217">
        <v>11040502</v>
      </c>
      <c r="C475" s="247"/>
      <c r="D475" s="248">
        <v>0</v>
      </c>
      <c r="G475" s="214">
        <f t="shared" si="10"/>
        <v>0</v>
      </c>
      <c r="H475" s="214"/>
      <c r="I475" s="256"/>
      <c r="J475" s="256"/>
    </row>
    <row r="476" spans="1:10" hidden="1" outlineLevel="1">
      <c r="A476" s="257" t="str">
        <f>INDEX('INV500 '!$F$3:$F$402,MATCH(WebPosting!$B476,'INV500 '!$K$3:$K$402,0))</f>
        <v xml:space="preserve">SOS-EPAY-IPTIP                </v>
      </c>
      <c r="B476" s="217">
        <v>8070321</v>
      </c>
      <c r="C476" s="247"/>
      <c r="D476" s="248">
        <f>SUMPRODUCT('INV500 '!$W$3:$W$1990*((WebPosting!B476='INV500 '!$K$3:$K$1990))*('INV500 '!$O$3:$O$1990&lt;&gt;"M")*('INV500 '!$C$3:$C$1990=40))</f>
        <v>185938780.19999999</v>
      </c>
      <c r="E476" s="216"/>
      <c r="F476" s="216"/>
      <c r="G476" s="214">
        <f t="shared" si="10"/>
        <v>0</v>
      </c>
      <c r="H476" s="214"/>
      <c r="I476" s="256"/>
      <c r="J476" s="256"/>
    </row>
    <row r="477" spans="1:10" hidden="1" outlineLevel="1">
      <c r="A477" s="257" t="str">
        <f>INDEX('INV500 '!$F$3:$F$402,MATCH(WebPosting!$B477,'INV500 '!$K$3:$K$402,0))</f>
        <v xml:space="preserve">COMMODITY TRUST FD-IPTIP      </v>
      </c>
      <c r="B477" s="217">
        <v>8070316</v>
      </c>
      <c r="C477" s="247"/>
      <c r="D477" s="248">
        <f>SUMPRODUCT('INV500 '!$W$3:$W$1990*((WebPosting!B477='INV500 '!$K$3:$K$1990))*('INV500 '!$O$3:$O$1990&lt;&gt;"M")*('INV500 '!$C$3:$C$1990=40))</f>
        <v>0</v>
      </c>
      <c r="E477" s="216"/>
      <c r="F477" s="216"/>
      <c r="G477" s="214">
        <f t="shared" si="10"/>
        <v>0</v>
      </c>
      <c r="H477" s="216"/>
      <c r="I477" s="256"/>
      <c r="J477" s="256"/>
    </row>
    <row r="478" spans="1:10" hidden="1" outlineLevel="1">
      <c r="A478" s="257" t="str">
        <f>INDEX('INV500 '!$F$3:$F$402,MATCH(WebPosting!$B478,'INV500 '!$K$3:$K$402,0))</f>
        <v xml:space="preserve">MUNI WIRELESS SERVICES FD 125 </v>
      </c>
      <c r="B478" s="228">
        <v>12080820</v>
      </c>
      <c r="C478" s="247"/>
      <c r="D478" s="248">
        <f>SUMPRODUCT('INV500 '!$W$3:$W$1990*((WebPosting!B478='INV500 '!$K$3:$K$1990))*('INV500 '!$O$3:$O$1990&lt;&gt;"M")*('INV500 '!$C$3:$C$1990=40))</f>
        <v>1798558.38</v>
      </c>
      <c r="E478" s="216"/>
      <c r="F478" s="216"/>
      <c r="G478" s="214">
        <f t="shared" si="10"/>
        <v>0</v>
      </c>
      <c r="H478" s="216"/>
      <c r="I478" s="256"/>
      <c r="J478" s="256"/>
    </row>
    <row r="479" spans="1:10" hidden="1" outlineLevel="1">
      <c r="A479" s="261" t="str">
        <f>INDEX('INV500 '!$F$3:$F$402,MATCH(WebPosting!$B479,'INV500 '!$K$3:$K$402,0))</f>
        <v xml:space="preserve">KANERVA VS STATE TR FD        </v>
      </c>
      <c r="B479" s="228">
        <v>13083016</v>
      </c>
      <c r="C479" s="247"/>
      <c r="D479" s="248">
        <f>SUMPRODUCT('INV500 '!$W$3:$W$1990*((WebPosting!B479='INV500 '!$K$3:$K$1990))*('INV500 '!$O$3:$O$1990&lt;&gt;"M")*('INV500 '!$C$3:$C$1990=40))</f>
        <v>0</v>
      </c>
      <c r="E479" s="216"/>
      <c r="F479" s="216"/>
      <c r="G479" s="214">
        <f t="shared" si="10"/>
        <v>0</v>
      </c>
      <c r="H479" s="216"/>
      <c r="I479" s="256"/>
      <c r="J479" s="256"/>
    </row>
    <row r="480" spans="1:10" hidden="1" outlineLevel="1">
      <c r="A480" s="259" t="str">
        <f>INDEX('INV500 '!$F$3:$F$402,MATCH(WebPosting!$B480,'INV500 '!$K$3:$K$402,0))</f>
        <v xml:space="preserve">REGULATORY( TRUST FD 291)     </v>
      </c>
      <c r="B480" s="260">
        <v>14031310</v>
      </c>
      <c r="C480" s="247"/>
      <c r="D480" s="248">
        <f>SUMPRODUCT('INV500 '!$W$3:$W$1990*((WebPosting!B480='INV500 '!$K$3:$K$1990))*('INV500 '!$O$3:$O$1990&lt;&gt;"M")*('INV500 '!$C$3:$C$1990=40))</f>
        <v>424946.18</v>
      </c>
      <c r="E480" s="216"/>
      <c r="F480" s="216"/>
      <c r="G480" s="214">
        <f t="shared" si="10"/>
        <v>0</v>
      </c>
      <c r="H480" s="216"/>
      <c r="I480" s="256"/>
      <c r="J480" s="256"/>
    </row>
    <row r="481" spans="1:10" hidden="1" outlineLevel="1">
      <c r="A481" s="259" t="str">
        <f>INDEX('INV500 '!$F$3:$F$402,MATCH(WebPosting!$B481,'INV500 '!$K$3:$K$402,0))</f>
        <v>CORN COMMODITY TR #807 - IPTIP</v>
      </c>
      <c r="B481" s="228">
        <v>12051002</v>
      </c>
      <c r="C481" s="247"/>
      <c r="D481" s="248">
        <f>SUMPRODUCT('INV500 '!$W$3:$W$1990*((WebPosting!B481='INV500 '!$K$3:$K$1990))*('INV500 '!$O$3:$O$1990&lt;&gt;"M")*('INV500 '!$C$3:$C$1990=40))</f>
        <v>0</v>
      </c>
      <c r="E481" s="216"/>
      <c r="F481" s="216"/>
      <c r="G481" s="214">
        <f t="shared" si="10"/>
        <v>0</v>
      </c>
      <c r="H481" s="216"/>
      <c r="I481" s="256"/>
      <c r="J481" s="256"/>
    </row>
    <row r="482" spans="1:10" hidden="1" outlineLevel="1">
      <c r="A482" s="257" t="str">
        <f>INDEX('INV500 '!$F$3:$F$402,MATCH(WebPosting!$B482,'INV500 '!$K$3:$K$402,0))</f>
        <v xml:space="preserve">AGRICHEM. INCI. RESP.         </v>
      </c>
      <c r="B482" s="217">
        <v>8070305</v>
      </c>
      <c r="C482" s="247"/>
      <c r="D482" s="248">
        <f>SUMPRODUCT('INV500 '!$W$3:$W$1990*((WebPosting!B482='INV500 '!$K$3:$K$1990))*('INV500 '!$O$3:$O$1990&lt;&gt;"M")*('INV500 '!$C$3:$C$1990=40))</f>
        <v>3288.32</v>
      </c>
      <c r="E482" s="216"/>
      <c r="F482" s="216"/>
      <c r="G482" s="214">
        <f t="shared" si="10"/>
        <v>0</v>
      </c>
      <c r="H482" s="216"/>
      <c r="I482" s="256"/>
      <c r="J482" s="256"/>
    </row>
    <row r="483" spans="1:10" hidden="1" outlineLevel="1">
      <c r="A483" s="257" t="str">
        <f>INDEX('INV500 '!$F$3:$F$402,MATCH(WebPosting!$B483,'INV500 '!$K$3:$K$402,0))</f>
        <v xml:space="preserve">HOMELAND SECURITY FD 710      </v>
      </c>
      <c r="B483" s="228">
        <v>12072510</v>
      </c>
      <c r="C483" s="247"/>
      <c r="D483" s="248">
        <f>SUMPRODUCT('INV500 '!$W$3:$W$1990*((WebPosting!B483='INV500 '!$K$3:$K$1990))*('INV500 '!$O$3:$O$1990&lt;&gt;"M")*('INV500 '!$C$3:$C$1990=40))</f>
        <v>5678374.7000000002</v>
      </c>
      <c r="E483" s="216"/>
      <c r="F483" s="216"/>
      <c r="G483" s="214">
        <f t="shared" si="10"/>
        <v>0</v>
      </c>
      <c r="H483" s="216"/>
      <c r="I483" s="256"/>
      <c r="J483" s="256"/>
    </row>
    <row r="484" spans="1:10" hidden="1" outlineLevel="1">
      <c r="A484" s="257" t="str">
        <f>INDEX('INV500 '!$F$3:$F$402,MATCH(WebPosting!$B484,'INV500 '!$K$3:$K$402,0))</f>
        <v xml:space="preserve">CHILD SUPPORT - IPTIP         </v>
      </c>
      <c r="B484" s="217">
        <v>8070302</v>
      </c>
      <c r="C484" s="247"/>
      <c r="D484" s="248">
        <f>SUMPRODUCT('INV500 '!$W$3:$W$1990*((WebPosting!B484='INV500 '!$K$3:$K$1990))*('INV500 '!$O$3:$O$1990&lt;&gt;"M")*('INV500 '!$C$3:$C$1990=40))</f>
        <v>36375000</v>
      </c>
      <c r="E484" s="235"/>
      <c r="F484" s="235"/>
      <c r="G484" s="214">
        <f t="shared" si="10"/>
        <v>0</v>
      </c>
      <c r="H484" s="216"/>
      <c r="I484" s="256"/>
      <c r="J484" s="256"/>
    </row>
    <row r="485" spans="1:10" hidden="1" outlineLevel="1">
      <c r="A485" s="257" t="str">
        <f>INDEX('INV500 '!$F$3:$F$402,MATCH(WebPosting!$B485,'INV500 '!$K$3:$K$402,0))</f>
        <v xml:space="preserve">IL HABITAT ENDOWMENT FUND     </v>
      </c>
      <c r="B485" s="217">
        <v>8070310</v>
      </c>
      <c r="C485" s="247"/>
      <c r="D485" s="248">
        <f>SUMPRODUCT('INV500 '!$W$3:$W$1990*((WebPosting!B485='INV500 '!$K$3:$K$1990))*('INV500 '!$O$3:$O$1990&lt;&gt;"M")*('INV500 '!$C$3:$C$1990=40))</f>
        <v>11980571.25</v>
      </c>
      <c r="E485" s="216"/>
      <c r="F485" s="216"/>
      <c r="G485" s="214">
        <f t="shared" si="10"/>
        <v>0</v>
      </c>
      <c r="H485" s="235"/>
      <c r="I485" s="256"/>
      <c r="J485" s="256"/>
    </row>
    <row r="486" spans="1:10" hidden="1" outlineLevel="1">
      <c r="A486" s="257" t="str">
        <f>INDEX('INV500 '!$F$3:$F$402,MATCH(WebPosting!$B486,'INV500 '!$K$3:$K$402,0))</f>
        <v xml:space="preserve">IDOR-EPAY-IPTIP               </v>
      </c>
      <c r="B486" s="217">
        <v>9071512</v>
      </c>
      <c r="C486" s="247"/>
      <c r="D486" s="248">
        <f>SUMPRODUCT('INV500 '!$W$3:$W$1990*((WebPosting!B486='INV500 '!$K$3:$K$1990))*('INV500 '!$O$3:$O$1990&lt;&gt;"M")*('INV500 '!$C$3:$C$1990=40))</f>
        <v>20464790.690000001</v>
      </c>
      <c r="E486" s="216"/>
      <c r="F486" s="216"/>
      <c r="G486" s="214">
        <f t="shared" si="10"/>
        <v>0</v>
      </c>
      <c r="H486" s="216"/>
      <c r="I486" s="256"/>
      <c r="J486" s="256"/>
    </row>
    <row r="487" spans="1:10" hidden="1" outlineLevel="1">
      <c r="A487" s="257" t="str">
        <f>INDEX('INV500 '!$F$3:$F$402,MATCH(WebPosting!$B487,'INV500 '!$K$3:$K$402,0))</f>
        <v xml:space="preserve">NATIONAL ENDOWMENT            </v>
      </c>
      <c r="B487" s="217">
        <v>8070312</v>
      </c>
      <c r="C487" s="247"/>
      <c r="D487" s="248">
        <f>SUMPRODUCT('INV500 '!$W$3:$W$1990*((WebPosting!B487='INV500 '!$K$3:$K$1990))*('INV500 '!$O$3:$O$1990&lt;&gt;"M")*('INV500 '!$C$3:$C$1990=40))</f>
        <v>421389.99</v>
      </c>
      <c r="E487" s="216"/>
      <c r="F487" s="216"/>
      <c r="G487" s="214">
        <f t="shared" si="10"/>
        <v>0</v>
      </c>
      <c r="H487" s="216"/>
      <c r="I487" s="256"/>
      <c r="J487" s="256"/>
    </row>
    <row r="488" spans="1:10" hidden="1" outlineLevel="1">
      <c r="A488" s="257" t="str">
        <f>INDEX('INV500 '!$F$3:$F$402,MATCH(WebPosting!$B488,'INV500 '!$K$3:$K$402,0))</f>
        <v xml:space="preserve">UNEMPLOYMENT COMPENSATION     </v>
      </c>
      <c r="B488" s="217">
        <v>8070313</v>
      </c>
      <c r="C488" s="247"/>
      <c r="D488" s="248">
        <f>SUMPRODUCT('INV500 '!$W$3:$W$1990*((WebPosting!B488='INV500 '!$K$3:$K$1990))*('INV500 '!$O$3:$O$1990&lt;&gt;"M")*('INV500 '!$C$3:$C$1990=40))</f>
        <v>6541511.9400000004</v>
      </c>
      <c r="E488" s="216"/>
      <c r="F488" s="216"/>
      <c r="G488" s="214">
        <f t="shared" si="10"/>
        <v>0</v>
      </c>
      <c r="H488" s="216"/>
      <c r="I488" s="256"/>
      <c r="J488" s="256"/>
    </row>
    <row r="489" spans="1:10" hidden="1" outlineLevel="1">
      <c r="A489" s="257" t="str">
        <f>INDEX('INV500 '!$F$3:$F$402,MATCH(WebPosting!$B489,'INV500 '!$K$3:$K$402,0))</f>
        <v xml:space="preserve">IL PREPAID TUITION TRUST FUND </v>
      </c>
      <c r="B489" s="217">
        <v>8070325</v>
      </c>
      <c r="C489" s="247"/>
      <c r="D489" s="248">
        <f>SUMPRODUCT('INV500 '!$W$3:$W$1990*((WebPosting!B489='INV500 '!$K$3:$K$1990))*('INV500 '!$O$3:$O$1990&lt;&gt;"M")*('INV500 '!$C$3:$C$1990=40))</f>
        <v>6282845.4900000002</v>
      </c>
      <c r="E489" s="216"/>
      <c r="F489" s="216"/>
      <c r="G489" s="214">
        <f t="shared" si="10"/>
        <v>0</v>
      </c>
      <c r="H489" s="216"/>
      <c r="I489" s="256"/>
      <c r="J489" s="256"/>
    </row>
    <row r="490" spans="1:10" hidden="1" outlineLevel="1">
      <c r="A490" s="257" t="str">
        <f>INDEX('INV500 '!$F$3:$F$402,MATCH(WebPosting!$B490,'INV500 '!$K$3:$K$402,0))</f>
        <v xml:space="preserve">TOBACCO SETTLEMENT - IPTIP    </v>
      </c>
      <c r="B490" s="217">
        <v>8070315</v>
      </c>
      <c r="C490" s="247"/>
      <c r="D490" s="248">
        <f>SUMPRODUCT('INV500 '!$W$3:$W$1990*((WebPosting!B490='INV500 '!$K$3:$K$1990))*('INV500 '!$O$3:$O$1990&lt;&gt;"M")*('INV500 '!$C$3:$C$1990=40))</f>
        <v>10429802.140000001</v>
      </c>
      <c r="E490" s="216"/>
      <c r="F490" s="216"/>
      <c r="G490" s="214">
        <f t="shared" si="10"/>
        <v>0</v>
      </c>
      <c r="H490" s="216"/>
      <c r="I490" s="256"/>
      <c r="J490" s="256"/>
    </row>
    <row r="491" spans="1:10" hidden="1" outlineLevel="1">
      <c r="A491" s="257" t="str">
        <f>INDEX('INV500 '!$F$3:$F$402,MATCH(WebPosting!$B491,'INV500 '!$K$3:$K$402,0))</f>
        <v xml:space="preserve">CLEARING                      </v>
      </c>
      <c r="B491" s="217">
        <v>8070301</v>
      </c>
      <c r="C491" s="247"/>
      <c r="D491" s="248">
        <f>SUMPRODUCT('INV500 '!$W$3:$W$1990*((WebPosting!B491='INV500 '!$K$3:$K$1990))*('INV500 '!$O$3:$O$1990&lt;&gt;"M")*('INV500 '!$C$3:$C$1990=40))</f>
        <v>155000000</v>
      </c>
      <c r="E491" s="216"/>
      <c r="F491" s="216"/>
      <c r="G491" s="214">
        <f t="shared" si="10"/>
        <v>0</v>
      </c>
      <c r="H491" s="216"/>
      <c r="I491" s="256"/>
      <c r="J491" s="256"/>
    </row>
    <row r="492" spans="1:10" hidden="1" outlineLevel="1">
      <c r="A492" s="257" t="str">
        <f>INDEX('INV500 '!$F$3:$F$402,MATCH(WebPosting!$B492,'INV500 '!$K$3:$K$402,0))</f>
        <v xml:space="preserve">IPTIP-COLLEGE SAVINGS POOL    </v>
      </c>
      <c r="B492" s="217">
        <v>8070304</v>
      </c>
      <c r="C492" s="247"/>
      <c r="D492" s="248">
        <f>SUMPRODUCT('INV500 '!$W$3:$W$1990*((WebPosting!B492='INV500 '!$K$3:$K$1990))*('INV500 '!$O$3:$O$1990&lt;&gt;"M")*('INV500 '!$C$3:$C$1990=40))</f>
        <v>4426521.58</v>
      </c>
      <c r="E492" s="216"/>
      <c r="F492" s="216"/>
      <c r="G492" s="214">
        <f t="shared" si="10"/>
        <v>0</v>
      </c>
      <c r="H492" s="216"/>
      <c r="I492" s="256"/>
      <c r="J492" s="256"/>
    </row>
    <row r="493" spans="1:10" hidden="1" outlineLevel="1">
      <c r="A493" s="257" t="str">
        <f>INDEX('INV500 '!$F$3:$F$402,MATCH(WebPosting!$B493,'INV500 '!$K$3:$K$402,0))</f>
        <v xml:space="preserve">IDFPR E-PAY IPTIP             </v>
      </c>
      <c r="B493" s="217">
        <v>8070318</v>
      </c>
      <c r="C493" s="247"/>
      <c r="D493" s="248">
        <f>SUMPRODUCT('INV500 '!$W$3:$W$1990*((WebPosting!B493='INV500 '!$K$3:$K$1990))*('INV500 '!$O$3:$O$1990&lt;&gt;"M")*('INV500 '!$C$3:$C$1990=40))</f>
        <v>96246883.420000002</v>
      </c>
      <c r="E493" s="216"/>
      <c r="F493" s="216"/>
      <c r="G493" s="214">
        <f t="shared" si="10"/>
        <v>0</v>
      </c>
      <c r="H493" s="216"/>
      <c r="I493" s="256"/>
      <c r="J493" s="256"/>
    </row>
    <row r="494" spans="1:10" hidden="1" outlineLevel="1">
      <c r="A494" s="257" t="str">
        <f>INDEX('INV500 '!$F$3:$F$402,MATCH(WebPosting!$B494,'INV500 '!$K$3:$K$402,0))</f>
        <v xml:space="preserve">TOLL HIGHWAY CLEARING-IPTIP   </v>
      </c>
      <c r="B494" s="217">
        <v>8080611</v>
      </c>
      <c r="C494" s="247"/>
      <c r="D494" s="248">
        <f>SUMPRODUCT('INV500 '!$W$3:$W$1990*((WebPosting!B494='INV500 '!$K$3:$K$1990))*('INV500 '!$O$3:$O$1990&lt;&gt;"M")*('INV500 '!$C$3:$C$1990=40))</f>
        <v>0</v>
      </c>
      <c r="E494" s="216"/>
      <c r="F494" s="216"/>
      <c r="G494" s="214">
        <f t="shared" si="10"/>
        <v>0</v>
      </c>
      <c r="H494" s="216"/>
      <c r="I494" s="256"/>
      <c r="J494" s="256"/>
    </row>
    <row r="495" spans="1:10" hidden="1" outlineLevel="1">
      <c r="A495" s="257" t="str">
        <f>INDEX('INV500 '!$F$3:$F$402,MATCH(WebPosting!$B495,'INV500 '!$K$3:$K$402,0))</f>
        <v>RADIOACTIVE WASTE FACILITY CLO</v>
      </c>
      <c r="B495" s="217">
        <v>8070322</v>
      </c>
      <c r="C495" s="247"/>
      <c r="D495" s="248">
        <f>SUMPRODUCT('INV500 '!$W$3:$W$1990*((WebPosting!B495='INV500 '!$K$3:$K$1990))*('INV500 '!$O$3:$O$1990&lt;&gt;"M")*('INV500 '!$C$3:$C$1990=40))</f>
        <v>2003.63</v>
      </c>
      <c r="E495" s="216"/>
      <c r="F495" s="216"/>
      <c r="G495" s="214">
        <f t="shared" si="10"/>
        <v>0</v>
      </c>
      <c r="H495" s="216"/>
      <c r="I495" s="256"/>
      <c r="J495" s="256"/>
    </row>
    <row r="496" spans="1:10" hidden="1" outlineLevel="1">
      <c r="A496" s="257" t="str">
        <f>INDEX('INV500 '!$F$3:$F$402,MATCH(WebPosting!$B496,'INV500 '!$K$3:$K$402,0))</f>
        <v xml:space="preserve">IMRF #475                     </v>
      </c>
      <c r="B496" s="228">
        <v>14071020</v>
      </c>
      <c r="C496" s="247"/>
      <c r="D496" s="248">
        <f>SUMPRODUCT('INV500 '!$W$3:$W$1990*((WebPosting!B496='INV500 '!$K$3:$K$1990))*('INV500 '!$O$3:$O$1990&lt;&gt;"M")*('INV500 '!$C$3:$C$1990=40))</f>
        <v>0</v>
      </c>
      <c r="E496" s="216"/>
      <c r="F496" s="216"/>
      <c r="G496" s="214">
        <f t="shared" si="10"/>
        <v>0</v>
      </c>
      <c r="H496" s="216"/>
      <c r="I496" s="256"/>
      <c r="J496" s="256"/>
    </row>
    <row r="497" spans="1:10" hidden="1" outlineLevel="1">
      <c r="A497" s="257" t="str">
        <f>INDEX('INV500 '!$F$3:$F$402,MATCH(WebPosting!$B497,'INV500 '!$K$3:$K$402,0))</f>
        <v>IL.FUNDS-TITLE III SS &amp; EMPLOY</v>
      </c>
      <c r="B497" s="217">
        <v>8070309</v>
      </c>
      <c r="C497" s="247"/>
      <c r="D497" s="248">
        <f>SUMPRODUCT('INV500 '!$W$3:$W$1990*((WebPosting!B497='INV500 '!$K$3:$K$1990))*('INV500 '!$O$3:$O$1990&lt;&gt;"M")*('INV500 '!$C$3:$C$1990=40))</f>
        <v>51132997.759999998</v>
      </c>
      <c r="E497" s="216"/>
      <c r="F497" s="216"/>
      <c r="G497" s="214">
        <f t="shared" si="10"/>
        <v>0</v>
      </c>
      <c r="H497" s="216"/>
      <c r="I497" s="256"/>
      <c r="J497" s="256"/>
    </row>
    <row r="498" spans="1:10" hidden="1" outlineLevel="1">
      <c r="A498" s="257" t="str">
        <f>INDEX('INV500 '!$F$3:$F$402,MATCH(WebPosting!$B498,'INV500 '!$K$3:$K$402,0))</f>
        <v xml:space="preserve">ERIC OPERATIONS TRUST FD 467  </v>
      </c>
      <c r="B498" s="258">
        <v>16100716</v>
      </c>
      <c r="C498" s="247"/>
      <c r="D498" s="248">
        <f>SUMPRODUCT('INV500 '!$W$3:$W$1990*((WebPosting!B498='INV500 '!$K$3:$K$1990))*('INV500 '!$O$3:$O$1990&lt;&gt;"M")*('INV500 '!$C$3:$C$1990=40))</f>
        <v>0.24</v>
      </c>
      <c r="E498" s="216"/>
      <c r="F498" s="216"/>
      <c r="G498" s="214">
        <f t="shared" si="10"/>
        <v>0</v>
      </c>
      <c r="H498" s="216"/>
      <c r="I498" s="256"/>
      <c r="J498" s="256"/>
    </row>
    <row r="499" spans="1:10" hidden="1" outlineLevel="1">
      <c r="A499" s="257" t="str">
        <f>INDEX('INV500 '!$F$3:$F$402,MATCH(WebPosting!$B499,'INV500 '!$K$3:$K$402,0))</f>
        <v xml:space="preserve">E-PAY-IPTIP                   </v>
      </c>
      <c r="B499" s="217">
        <v>8070323</v>
      </c>
      <c r="C499" s="247"/>
      <c r="D499" s="248">
        <f>SUMPRODUCT('INV500 '!$W$3:$W$1990*((WebPosting!B499='INV500 '!$K$3:$K$1990))*('INV500 '!$O$3:$O$1990&lt;&gt;"M")*('INV500 '!$C$3:$C$1990=40))</f>
        <v>164645846.52000001</v>
      </c>
      <c r="E499" s="216"/>
      <c r="F499" s="216"/>
      <c r="G499" s="214">
        <f t="shared" si="10"/>
        <v>0</v>
      </c>
      <c r="H499" s="216"/>
      <c r="I499" s="256"/>
      <c r="J499" s="256"/>
    </row>
    <row r="500" spans="1:10" collapsed="1">
      <c r="A500" s="235" t="str">
        <f>INDEX('INV500 '!$F$3:$F$402,MATCH(WebPosting!$B500,'INV500 '!$K$3:$K$402,0))</f>
        <v xml:space="preserve">MORGAN STANLEY/TREAS CURVE    </v>
      </c>
      <c r="B500" s="255">
        <v>13071822</v>
      </c>
      <c r="C500" s="247"/>
      <c r="D500" s="248">
        <f>SUMPRODUCT('INV500 '!$W$3:$W$1990*((WebPosting!B500='INV500 '!$K$3:$K$1990))*('INV500 '!$O$3:$O$1990&lt;&gt;"M")*('INV500 '!$C$3:$C$1990=50))</f>
        <v>200000000</v>
      </c>
      <c r="G500" s="252">
        <f t="shared" ref="G500:G506" si="11">($D500*H501)/SUM($D$500:$D$506)</f>
        <v>2.0142618260248382E-3</v>
      </c>
      <c r="H500" s="216"/>
      <c r="I500" s="256"/>
      <c r="J500" s="256"/>
    </row>
    <row r="501" spans="1:10">
      <c r="A501" s="235" t="str">
        <f>INDEX('INV500 '!$F$3:$F$402,MATCH(WebPosting!$B501,'INV500 '!$K$3:$K$402,0))</f>
        <v xml:space="preserve">AIM CLEARING/TREASURY CURVE   </v>
      </c>
      <c r="B501" s="217">
        <v>15062616</v>
      </c>
      <c r="C501" s="247"/>
      <c r="D501" s="248">
        <f>SUMPRODUCT('INV500 '!$W$3:$W$1990*((WebPosting!B501='INV500 '!$K$3:$K$1990))*('INV500 '!$O$3:$O$1990&lt;&gt;"M")*('INV500 '!$C$3:$C$1990=50))</f>
        <v>90000000</v>
      </c>
      <c r="G501" s="252">
        <f t="shared" si="11"/>
        <v>9.3350654875191312E-4</v>
      </c>
      <c r="H501" s="251">
        <v>5.9480399999999999E-3</v>
      </c>
      <c r="I501" s="236" t="s">
        <v>252</v>
      </c>
      <c r="J501" s="236"/>
    </row>
    <row r="502" spans="1:10">
      <c r="A502" s="235" t="str">
        <f>INDEX('INV500 '!$F$3:$F$402,MATCH(WebPosting!$B502,'INV500 '!$K$3:$K$402,0))</f>
        <v xml:space="preserve">WESTERN ASST GOVT/TREAS CURVE </v>
      </c>
      <c r="B502" s="217">
        <v>9062615</v>
      </c>
      <c r="C502" s="247"/>
      <c r="D502" s="248">
        <f>SUMPRODUCT('INV500 '!$W$3:$W$1990*((WebPosting!B502='INV500 '!$K$3:$K$1990))*('INV500 '!$O$3:$O$1990&lt;&gt;"M")*('INV500 '!$C$3:$C$1990=50))</f>
        <v>250000000</v>
      </c>
      <c r="G502" s="252">
        <f t="shared" si="11"/>
        <v>2.6799060325408517E-3</v>
      </c>
      <c r="H502" s="251">
        <v>6.1257999999999998E-3</v>
      </c>
      <c r="I502" s="236" t="s">
        <v>251</v>
      </c>
      <c r="J502" s="236"/>
    </row>
    <row r="503" spans="1:10">
      <c r="A503" s="235" t="str">
        <f>INDEX('INV500 '!$F$3:$F$402,MATCH(WebPosting!$B503,'INV500 '!$K$3:$K$402,0))</f>
        <v xml:space="preserve">NORTHERN TR-WILLIAMS CAP      </v>
      </c>
      <c r="B503" s="254">
        <v>16072813</v>
      </c>
      <c r="C503" s="247"/>
      <c r="D503" s="248">
        <f>SUMPRODUCT('INV500 '!$W$3:$W$1990*((WebPosting!B503='INV500 '!$K$3:$K$1990))*('INV500 '!$O$3:$O$1990&lt;&gt;"M")*('INV500 '!$C$3:$C$1990=50))</f>
        <v>50000000</v>
      </c>
      <c r="G503" s="252">
        <f t="shared" si="11"/>
        <v>4.6691666960044345E-4</v>
      </c>
      <c r="H503" s="251">
        <v>6.3309300000000002E-3</v>
      </c>
      <c r="I503" s="236" t="s">
        <v>250</v>
      </c>
      <c r="J503" s="236"/>
    </row>
    <row r="504" spans="1:10">
      <c r="A504" s="235" t="str">
        <f>INDEX('INV500 '!$F$3:$F$402,MATCH(WebPosting!$B504,'INV500 '!$K$3:$K$402,0))</f>
        <v xml:space="preserve">INB CLEARING IDOR LOCKBOX     </v>
      </c>
      <c r="B504" s="217">
        <v>15121115</v>
      </c>
      <c r="C504" s="247"/>
      <c r="D504" s="248">
        <f>SUMPRODUCT('INV500 '!$W$3:$W$1990*((WebPosting!B504='INV500 '!$K$3:$K$1990))*('INV500 '!$O$3:$O$1990&lt;&gt;"M")*('INV500 '!$C$3:$C$1990=52))</f>
        <v>285135</v>
      </c>
      <c r="G504" s="252">
        <f t="shared" si="11"/>
        <v>4.8284307050572002E-8</v>
      </c>
      <c r="H504" s="251">
        <v>5.5151499999999999E-3</v>
      </c>
      <c r="I504" s="236" t="s">
        <v>249</v>
      </c>
      <c r="J504" s="236"/>
    </row>
    <row r="505" spans="1:10">
      <c r="A505" s="235" t="str">
        <f>INDEX('INV500 '!$F$3:$F$402,MATCH(WebPosting!$B505,'INV500 '!$K$3:$K$402,0))</f>
        <v xml:space="preserve">I.N.B. CLEARING LOCKBOX       </v>
      </c>
      <c r="B505" s="253">
        <v>90619</v>
      </c>
      <c r="C505" s="247"/>
      <c r="D505" s="248">
        <f>SUMPRODUCT('INV500 '!$W$3:$W$1990*((WebPosting!B505='INV500 '!$K$3:$K$1990))*('INV500 '!$O$3:$O$1990&lt;&gt;"M")*('INV500 '!$C$3:$C$1990=52))</f>
        <v>76481</v>
      </c>
      <c r="G505" s="252">
        <f t="shared" si="11"/>
        <v>1.2951170805179292E-8</v>
      </c>
      <c r="H505" s="251">
        <v>1.0001E-4</v>
      </c>
      <c r="I505" s="236" t="s">
        <v>248</v>
      </c>
      <c r="J505" s="236"/>
    </row>
    <row r="506" spans="1:10">
      <c r="A506" s="235" t="str">
        <f>INDEX('INV500 '!$F$3:$F$402,MATCH(WebPosting!$B506,'INV500 '!$K$3:$K$402,0))</f>
        <v xml:space="preserve">INB CLEARING DHS LOCKBOX      </v>
      </c>
      <c r="B506" s="217">
        <v>15121623</v>
      </c>
      <c r="C506" s="247"/>
      <c r="D506" s="248">
        <f>SUMPRODUCT('INV500 '!$W$3:$W$1990*((WebPosting!B506='INV500 '!$K$3:$K$1990))*('INV500 '!$O$3:$O$1990&lt;&gt;"M")*('INV500 '!$C$3:$C$1990=52))</f>
        <v>230920</v>
      </c>
      <c r="G506" s="252">
        <f t="shared" si="11"/>
        <v>3.9103625244596725E-8</v>
      </c>
      <c r="H506" s="251">
        <f>H505</f>
        <v>1.0001E-4</v>
      </c>
      <c r="I506" s="236"/>
      <c r="J506" s="236"/>
    </row>
    <row r="507" spans="1:10">
      <c r="A507" s="235"/>
      <c r="C507" s="247"/>
      <c r="D507" s="248"/>
      <c r="H507" s="251">
        <f>H505</f>
        <v>1.0001E-4</v>
      </c>
      <c r="I507" s="236"/>
      <c r="J507" s="236"/>
    </row>
    <row r="508" spans="1:10" ht="20.25">
      <c r="A508" s="250" t="s">
        <v>247</v>
      </c>
      <c r="B508" s="249"/>
      <c r="C508" s="247"/>
      <c r="D508" s="248"/>
      <c r="H508" s="237"/>
      <c r="I508" s="236"/>
      <c r="J508" s="236"/>
    </row>
    <row r="509" spans="1:10" ht="20.25">
      <c r="A509" s="211" t="str">
        <f>INDEX('INV500 '!$F$3:$F$402,MATCH(WebPosting!$B509,'INV500 '!$K$3:$K$402,0))</f>
        <v xml:space="preserve">TOLLHWY IPASS ESCROW - IPTIP  </v>
      </c>
      <c r="B509" s="217">
        <v>8070308</v>
      </c>
      <c r="C509" s="247"/>
      <c r="D509" s="396">
        <f>SUMPRODUCT('INV500 '!$W$3:$W$1990*((WebPosting!B509='INV500 '!$K$3:$K$1990))*('INV500 '!$O$3:$O$1990&lt;&gt;"M")*('INV500 '!$C$3:$C$1990=40))</f>
        <v>205540000</v>
      </c>
      <c r="E509" s="216"/>
      <c r="F509" s="216"/>
      <c r="G509" s="216"/>
      <c r="H509" s="237"/>
      <c r="I509" s="236"/>
      <c r="J509" s="236"/>
    </row>
    <row r="510" spans="1:10" ht="20.25">
      <c r="A510" s="245"/>
      <c r="B510" s="244"/>
      <c r="C510" s="243"/>
      <c r="D510" s="246">
        <f>D472+SUM(D500:D500)+SUM(D505:D505)+SUM(D509:D509)+D502+D501+D504+D503+D506</f>
        <v>2096926648.4300003</v>
      </c>
      <c r="H510" s="237"/>
      <c r="I510" s="236"/>
      <c r="J510" s="236"/>
    </row>
    <row r="511" spans="1:10" ht="20.25">
      <c r="A511" s="245"/>
      <c r="B511" s="244"/>
      <c r="C511" s="243"/>
      <c r="D511" s="242"/>
      <c r="H511" s="237"/>
      <c r="I511" s="236"/>
      <c r="J511" s="236"/>
    </row>
    <row r="512" spans="1:10" ht="21" thickBot="1">
      <c r="A512" s="241" t="s">
        <v>246</v>
      </c>
      <c r="B512" s="224"/>
      <c r="C512" s="240"/>
      <c r="D512" s="239">
        <f>D14+D21+D121+D156+D371+D431+D455+D510+D379+D395+D404+D467+D421+D220</f>
        <v>13080038196.700001</v>
      </c>
      <c r="E512" s="238"/>
      <c r="F512" s="238"/>
      <c r="G512" s="238"/>
      <c r="H512" s="237"/>
      <c r="I512" s="236"/>
      <c r="J512" s="236"/>
    </row>
    <row r="513" spans="1:10" s="235" customFormat="1" ht="21" thickTop="1">
      <c r="A513" s="211"/>
      <c r="B513" s="217"/>
      <c r="C513" s="216"/>
      <c r="D513" s="215"/>
      <c r="E513" s="214"/>
      <c r="F513" s="214"/>
      <c r="G513" s="214"/>
      <c r="H513" s="237"/>
      <c r="I513" s="236"/>
      <c r="J513" s="236"/>
    </row>
    <row r="514" spans="1:10" hidden="1" outlineLevel="1">
      <c r="A514" s="211" t="s">
        <v>245</v>
      </c>
      <c r="B514" s="217" t="s">
        <v>244</v>
      </c>
      <c r="D514" s="234">
        <v>16456198000</v>
      </c>
    </row>
    <row r="515" spans="1:10" hidden="1" outlineLevel="1">
      <c r="D515" s="227"/>
    </row>
    <row r="516" spans="1:10" hidden="1" outlineLevel="1">
      <c r="A516" s="211" t="s">
        <v>238</v>
      </c>
      <c r="B516" s="217">
        <v>8011811</v>
      </c>
      <c r="C516" s="216" t="s">
        <v>1</v>
      </c>
      <c r="D516" s="227">
        <f>-SUMPRODUCT('INV500 '!$V$3:$V$1990*((WebPosting!B516='INV500 '!$K$3:$K$1990)*1000)*('INV500 '!$O$3:$O$1990&lt;&gt;"M")*('INV500 '!$C$3:$C$1990=45))</f>
        <v>-202401000</v>
      </c>
      <c r="E516" s="233"/>
      <c r="F516" s="233"/>
      <c r="G516" s="233"/>
    </row>
    <row r="517" spans="1:10" ht="12.75" hidden="1" outlineLevel="1">
      <c r="A517" s="211" t="s">
        <v>238</v>
      </c>
      <c r="B517" s="217">
        <v>8040915</v>
      </c>
      <c r="C517" s="216" t="s">
        <v>2</v>
      </c>
      <c r="D517" s="227">
        <f>-SUMPRODUCT('INV500 '!$V$3:$V$1990*((WebPosting!B517='INV500 '!$K$3:$K$1990)*1000)*('INV500 '!$O$3:$O$1990&lt;&gt;"M")*('INV500 '!$C$3:$C$1990=46))</f>
        <v>-273050000</v>
      </c>
      <c r="E517" s="231"/>
      <c r="F517" s="231"/>
      <c r="G517" s="231"/>
      <c r="H517" s="214" t="s">
        <v>243</v>
      </c>
      <c r="I517" s="233"/>
      <c r="J517" s="233"/>
    </row>
    <row r="518" spans="1:10" ht="12.75" hidden="1" outlineLevel="1">
      <c r="A518" s="211" t="s">
        <v>238</v>
      </c>
      <c r="B518" s="217">
        <v>8040917</v>
      </c>
      <c r="C518" s="216" t="s">
        <v>0</v>
      </c>
      <c r="D518" s="227">
        <f>-SUMPRODUCT('INV500 '!$V$3:$V$1990*((WebPosting!B518='INV500 '!$K$3:$K$1990)*1000)*('INV500 '!$O$3:$O$1990&lt;&gt;"M")*('INV500 '!$C$3:$C$1990=47))</f>
        <v>-190323000</v>
      </c>
      <c r="E518" s="211"/>
      <c r="F518" s="211"/>
      <c r="G518" s="211"/>
      <c r="H518" s="232">
        <f>SUM(D516:D524)</f>
        <v>-3478200000</v>
      </c>
      <c r="I518" s="231"/>
      <c r="J518" s="231"/>
    </row>
    <row r="519" spans="1:10" hidden="1" outlineLevel="1">
      <c r="A519" s="211" t="s">
        <v>238</v>
      </c>
      <c r="B519" s="230">
        <v>16020822</v>
      </c>
      <c r="C519" s="216" t="s">
        <v>242</v>
      </c>
      <c r="D519" s="227">
        <f>-SUMPRODUCT('INV500 '!$V$3:$V$1990*((WebPosting!B519='INV500 '!$K$3:$K$1990)*1000)*('INV500 '!$O$3:$O$1990&lt;&gt;"M")*('INV500 '!$C$3:$C$1990=75))</f>
        <v>-100500000</v>
      </c>
      <c r="E519" s="211"/>
      <c r="F519" s="211"/>
      <c r="G519" s="211"/>
    </row>
    <row r="520" spans="1:10" hidden="1" outlineLevel="1">
      <c r="A520" s="211" t="s">
        <v>238</v>
      </c>
      <c r="B520" s="229">
        <v>8111012</v>
      </c>
      <c r="C520" s="216" t="s">
        <v>241</v>
      </c>
      <c r="D520" s="227">
        <f>-SUMPRODUCT('INV500 '!$V$3:$V$1990*((WebPosting!B520='INV500 '!$K$3:$K$1990)*1000)*('INV500 '!$O$3:$O$1990&lt;&gt;"M")*('INV500 '!$C$3:$C$1990=43))</f>
        <v>-100000000</v>
      </c>
      <c r="E520" s="211"/>
      <c r="F520" s="211"/>
      <c r="G520" s="211"/>
    </row>
    <row r="521" spans="1:10" hidden="1" outlineLevel="1">
      <c r="A521" s="211" t="s">
        <v>238</v>
      </c>
      <c r="B521" s="217">
        <v>8040916</v>
      </c>
      <c r="C521" s="216" t="s">
        <v>29</v>
      </c>
      <c r="D521" s="227">
        <f>-SUMPRODUCT('INV500 '!$V$3:$V$1990*((WebPosting!B521='INV500 '!$K$3:$K$1990)*1000)*('INV500 '!$O$3:$O$1990&lt;&gt;"M")*('INV500 '!$C$3:$C$1990=48))</f>
        <v>-50031000</v>
      </c>
      <c r="E521" s="211"/>
      <c r="F521" s="211"/>
      <c r="G521" s="211"/>
    </row>
    <row r="522" spans="1:10" hidden="1" outlineLevel="1">
      <c r="A522" s="211" t="s">
        <v>238</v>
      </c>
      <c r="B522" s="217">
        <v>9080512</v>
      </c>
      <c r="C522" s="216" t="s">
        <v>240</v>
      </c>
      <c r="D522" s="227">
        <f>-SUMPRODUCT('INV500 '!$V$3:$V$1990*((WebPosting!B522='INV500 '!$K$3:$K$1990)*1000)*('INV500 '!$O$3:$O$1990&lt;&gt;"M")*('INV500 '!$C$3:$C$1990=56))</f>
        <v>-1646727000</v>
      </c>
      <c r="E522" s="211"/>
      <c r="F522" s="211"/>
      <c r="G522" s="211"/>
    </row>
    <row r="523" spans="1:10" hidden="1" outlineLevel="1">
      <c r="A523" s="211" t="s">
        <v>238</v>
      </c>
      <c r="B523" s="228">
        <v>12041011</v>
      </c>
      <c r="C523" s="216" t="s">
        <v>239</v>
      </c>
      <c r="D523" s="227">
        <f>-SUMPRODUCT('INV500 '!$V$3:$V$1990*((WebPosting!B523='INV500 '!$K$3:$K$1990)*1000)*('INV500 '!$O$3:$O$1990&lt;&gt;"M")*('INV500 '!$C$3:$C$1990=58))</f>
        <v>-663574000</v>
      </c>
      <c r="E523" s="211"/>
      <c r="F523" s="211"/>
      <c r="G523" s="211"/>
    </row>
    <row r="524" spans="1:10" hidden="1" outlineLevel="1">
      <c r="A524" s="211" t="s">
        <v>238</v>
      </c>
      <c r="B524" s="228">
        <v>15051301</v>
      </c>
      <c r="C524" s="216" t="s">
        <v>57</v>
      </c>
      <c r="D524" s="227">
        <f>-SUMPRODUCT('INV500 '!$V$3:$V$1990*((WebPosting!B524='INV500 '!$K$3:$K$1990)*1000)*('INV500 '!$O$3:$O$1990&lt;&gt;"M")*('INV500 '!$C$3:$C$1990=61))</f>
        <v>-251594000</v>
      </c>
      <c r="E524" s="211"/>
      <c r="F524" s="211"/>
      <c r="G524" s="211"/>
    </row>
    <row r="525" spans="1:10" hidden="1" outlineLevel="1">
      <c r="A525" s="211" t="s">
        <v>237</v>
      </c>
      <c r="D525" s="227">
        <f>D474</f>
        <v>0</v>
      </c>
    </row>
    <row r="526" spans="1:10" hidden="1" outlineLevel="1">
      <c r="A526" s="211" t="s">
        <v>236</v>
      </c>
      <c r="D526" s="226">
        <f>D156</f>
        <v>102572257</v>
      </c>
    </row>
    <row r="527" spans="1:10" hidden="1" outlineLevel="1">
      <c r="A527" s="225" t="s">
        <v>235</v>
      </c>
      <c r="B527" s="224"/>
      <c r="D527" s="223">
        <f>SUM(D514:D526)</f>
        <v>13080570257</v>
      </c>
    </row>
    <row r="528" spans="1:10" hidden="1" outlineLevel="1"/>
    <row r="529" spans="1:10" hidden="1" outlineLevel="1"/>
    <row r="530" spans="1:10" ht="21" hidden="1" outlineLevel="1" thickBot="1">
      <c r="A530" s="222" t="s">
        <v>234</v>
      </c>
      <c r="B530" s="221"/>
      <c r="C530" s="220"/>
      <c r="D530" s="219">
        <f>SUM(D512-D527)</f>
        <v>-532060.29999923706</v>
      </c>
      <c r="E530" s="211"/>
      <c r="F530" s="211"/>
      <c r="G530" s="211"/>
    </row>
    <row r="531" spans="1:10" ht="12.75" collapsed="1">
      <c r="E531" s="211"/>
      <c r="F531" s="211"/>
      <c r="G531" s="211"/>
      <c r="H531" s="216"/>
      <c r="I531" s="211"/>
      <c r="J531" s="211"/>
    </row>
    <row r="532" spans="1:10" ht="12.75" outlineLevel="1">
      <c r="E532" s="211"/>
      <c r="F532" s="211"/>
      <c r="G532" s="211"/>
      <c r="H532" s="216"/>
      <c r="I532" s="211"/>
      <c r="J532" s="211"/>
    </row>
    <row r="533" spans="1:10" ht="27.75" customHeight="1" outlineLevel="1">
      <c r="A533" s="439" t="str">
        <f>"*Securities Lending collateral invested in repurchase agreements in the amount of "&amp;DOLLAR(-SUM(D516:D524),0)&amp;" is not included in the Portfolio Asset total."</f>
        <v>*Securities Lending collateral invested in repurchase agreements in the amount of $3,478,200,000 is not included in the Portfolio Asset total.</v>
      </c>
      <c r="B533" s="439"/>
      <c r="C533" s="439"/>
      <c r="D533" s="439"/>
      <c r="E533" s="211"/>
      <c r="F533" s="211"/>
      <c r="G533" s="211"/>
      <c r="H533" s="216"/>
      <c r="I533" s="211"/>
      <c r="J533" s="211"/>
    </row>
    <row r="534" spans="1:10" ht="12.75">
      <c r="A534" s="218"/>
      <c r="H534" s="216"/>
      <c r="I534" s="211"/>
      <c r="J534" s="211"/>
    </row>
  </sheetData>
  <mergeCells count="17">
    <mergeCell ref="A458:E458"/>
    <mergeCell ref="A407:E407"/>
    <mergeCell ref="A1:E1"/>
    <mergeCell ref="A2:E2"/>
    <mergeCell ref="A533:D533"/>
    <mergeCell ref="A159:E159"/>
    <mergeCell ref="A124:E124"/>
    <mergeCell ref="A24:E24"/>
    <mergeCell ref="A4:E4"/>
    <mergeCell ref="A223:E223"/>
    <mergeCell ref="A348:E348"/>
    <mergeCell ref="A382:E382"/>
    <mergeCell ref="A424:E424"/>
    <mergeCell ref="A434:E434"/>
    <mergeCell ref="A470:E470"/>
    <mergeCell ref="A374:E374"/>
    <mergeCell ref="A398:E398"/>
  </mergeCells>
  <conditionalFormatting sqref="D157">
    <cfRule type="cellIs" dxfId="1" priority="1" operator="equal">
      <formula>TRUE</formula>
    </cfRule>
  </conditionalFormatting>
  <printOptions horizontalCentered="1"/>
  <pageMargins left="0.5" right="0.5" top="0.75" bottom="0.75" header="0.3" footer="0.3"/>
  <pageSetup scale="84" fitToHeight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8"/>
  <sheetViews>
    <sheetView topLeftCell="F1" zoomScale="90" workbookViewId="0">
      <pane ySplit="2" topLeftCell="A3" activePane="bottomLeft" state="frozen"/>
      <selection pane="bottomLeft" activeCell="F3" sqref="F3"/>
    </sheetView>
  </sheetViews>
  <sheetFormatPr defaultColWidth="9.140625" defaultRowHeight="15" outlineLevelCol="1"/>
  <cols>
    <col min="1" max="1" width="18" style="40" customWidth="1"/>
    <col min="2" max="2" width="26.28515625" style="40" bestFit="1" customWidth="1"/>
    <col min="3" max="3" width="10.28515625" style="40" bestFit="1" customWidth="1"/>
    <col min="4" max="4" width="41.5703125" style="40" bestFit="1" customWidth="1"/>
    <col min="5" max="5" width="10.7109375" style="40" customWidth="1"/>
    <col min="6" max="6" width="42.42578125" style="40" customWidth="1"/>
    <col min="7" max="7" width="10.85546875" style="40" customWidth="1"/>
    <col min="8" max="8" width="39.5703125" style="40" customWidth="1"/>
    <col min="9" max="9" width="16.28515625" style="40" customWidth="1"/>
    <col min="10" max="10" width="40.5703125" style="40" customWidth="1"/>
    <col min="11" max="11" width="19" style="40" bestFit="1" customWidth="1"/>
    <col min="12" max="12" width="14.7109375" style="40" customWidth="1"/>
    <col min="13" max="13" width="19.28515625" style="61" bestFit="1" customWidth="1"/>
    <col min="14" max="14" width="20.140625" style="40" bestFit="1" customWidth="1"/>
    <col min="15" max="15" width="10" style="40" customWidth="1"/>
    <col min="16" max="16" width="18.28515625" style="40" hidden="1" customWidth="1" outlineLevel="1"/>
    <col min="17" max="17" width="34.140625" style="40" hidden="1" customWidth="1" outlineLevel="1"/>
    <col min="18" max="18" width="21.5703125" style="40" hidden="1" customWidth="1" outlineLevel="1"/>
    <col min="19" max="19" width="12.5703125" style="40" hidden="1" customWidth="1" outlineLevel="1"/>
    <col min="20" max="20" width="24.7109375" style="40" customWidth="1" collapsed="1"/>
    <col min="21" max="21" width="19.28515625" style="40" bestFit="1" customWidth="1"/>
    <col min="22" max="22" width="17.42578125" style="40" customWidth="1"/>
    <col min="23" max="23" width="16.5703125" style="40" customWidth="1"/>
    <col min="24" max="24" width="17.5703125" style="40" bestFit="1" customWidth="1"/>
    <col min="25" max="25" width="10.140625" style="40" bestFit="1" customWidth="1"/>
    <col min="26" max="26" width="12.140625" style="40" bestFit="1" customWidth="1"/>
    <col min="27" max="27" width="18" style="40" bestFit="1" customWidth="1"/>
    <col min="28" max="28" width="17.7109375" style="40" customWidth="1"/>
    <col min="29" max="29" width="18" style="40" bestFit="1" customWidth="1"/>
    <col min="30" max="30" width="9.140625" style="40"/>
    <col min="31" max="31" width="99.140625" style="40" bestFit="1" customWidth="1"/>
    <col min="32" max="16384" width="9.140625" style="40"/>
  </cols>
  <sheetData>
    <row r="1" spans="1:35">
      <c r="A1" s="52" t="s">
        <v>132</v>
      </c>
      <c r="F1" s="52"/>
      <c r="L1" s="41"/>
      <c r="M1" s="45"/>
      <c r="N1" s="41"/>
    </row>
    <row r="2" spans="1:35" s="39" customFormat="1" ht="13.5" customHeight="1">
      <c r="A2" s="39" t="s">
        <v>3</v>
      </c>
      <c r="B2" s="39" t="s">
        <v>26</v>
      </c>
      <c r="C2" s="39" t="s">
        <v>4</v>
      </c>
      <c r="D2" s="39" t="s">
        <v>5</v>
      </c>
      <c r="E2" s="39" t="s">
        <v>6</v>
      </c>
      <c r="F2" s="39" t="s">
        <v>7</v>
      </c>
      <c r="G2" s="39" t="s">
        <v>8</v>
      </c>
      <c r="H2" s="39" t="s">
        <v>9</v>
      </c>
      <c r="I2" s="39" t="s">
        <v>10</v>
      </c>
      <c r="J2" s="39" t="s">
        <v>11</v>
      </c>
      <c r="K2" s="39" t="s">
        <v>12</v>
      </c>
      <c r="L2" s="47" t="s">
        <v>25</v>
      </c>
      <c r="M2" s="47" t="s">
        <v>126</v>
      </c>
      <c r="N2" s="47" t="s">
        <v>123</v>
      </c>
      <c r="O2" s="39" t="s">
        <v>13</v>
      </c>
      <c r="P2" s="39" t="s">
        <v>14</v>
      </c>
      <c r="Q2" s="39" t="s">
        <v>23</v>
      </c>
      <c r="R2" s="39" t="s">
        <v>122</v>
      </c>
      <c r="S2" s="39" t="s">
        <v>15</v>
      </c>
      <c r="T2" s="39" t="s">
        <v>24</v>
      </c>
      <c r="U2" s="39" t="s">
        <v>27</v>
      </c>
      <c r="V2" s="39" t="s">
        <v>16</v>
      </c>
      <c r="W2" s="39" t="s">
        <v>17</v>
      </c>
      <c r="X2" s="39" t="s">
        <v>28</v>
      </c>
      <c r="Y2" s="39" t="s">
        <v>18</v>
      </c>
      <c r="Z2" s="39" t="s">
        <v>19</v>
      </c>
      <c r="AA2" s="39" t="s">
        <v>20</v>
      </c>
      <c r="AB2" s="39" t="s">
        <v>21</v>
      </c>
      <c r="AC2" s="39" t="s">
        <v>22</v>
      </c>
      <c r="AD2" s="40"/>
      <c r="AE2" s="40"/>
    </row>
    <row r="3" spans="1:35">
      <c r="A3" s="415">
        <v>1</v>
      </c>
      <c r="B3" s="415" t="s">
        <v>303</v>
      </c>
      <c r="C3" s="415">
        <v>10</v>
      </c>
      <c r="D3" s="415" t="s">
        <v>304</v>
      </c>
      <c r="E3" s="415">
        <v>10</v>
      </c>
      <c r="F3" s="415" t="s">
        <v>305</v>
      </c>
      <c r="G3" s="415">
        <v>15</v>
      </c>
      <c r="H3" s="415" t="s">
        <v>306</v>
      </c>
      <c r="I3" s="415" t="s">
        <v>307</v>
      </c>
      <c r="J3" s="415" t="s">
        <v>308</v>
      </c>
      <c r="K3" s="415">
        <v>17033010</v>
      </c>
      <c r="L3" s="41" t="e">
        <f>VLOOKUP(K3,WebPosting!$B$6:$B$561,1,FALSE)</f>
        <v>#N/A</v>
      </c>
      <c r="M3" s="46">
        <f>(($V3*1000)*(IFERROR($T3-WebPosting!$K$1,"0")))</f>
        <v>0</v>
      </c>
      <c r="N3" s="43">
        <f t="shared" ref="N3:N66" si="0">($U3%*($V3*1000))</f>
        <v>6750000</v>
      </c>
      <c r="O3" s="416" t="s">
        <v>660</v>
      </c>
      <c r="P3" s="416" t="s">
        <v>661</v>
      </c>
      <c r="Q3" s="416" t="s">
        <v>662</v>
      </c>
      <c r="R3" s="417">
        <v>42824</v>
      </c>
      <c r="S3" s="417">
        <v>42825</v>
      </c>
      <c r="T3" s="417">
        <v>42825</v>
      </c>
      <c r="U3" s="416">
        <v>0.75</v>
      </c>
      <c r="V3" s="418">
        <v>900000</v>
      </c>
      <c r="W3" s="419">
        <v>900000000</v>
      </c>
      <c r="X3" s="419">
        <v>18750.060000000001</v>
      </c>
      <c r="Y3" s="416" t="s">
        <v>663</v>
      </c>
      <c r="Z3" s="416" t="s">
        <v>664</v>
      </c>
      <c r="AA3" s="416" t="s">
        <v>665</v>
      </c>
      <c r="AB3" s="416" t="s">
        <v>666</v>
      </c>
      <c r="AC3" s="416" t="s">
        <v>666</v>
      </c>
      <c r="AD3" s="380"/>
      <c r="AG3" s="53"/>
      <c r="AH3" s="54"/>
      <c r="AI3" s="54"/>
    </row>
    <row r="4" spans="1:35">
      <c r="A4" s="415">
        <v>1</v>
      </c>
      <c r="B4" s="415" t="s">
        <v>303</v>
      </c>
      <c r="C4" s="415">
        <v>10</v>
      </c>
      <c r="D4" s="415" t="s">
        <v>304</v>
      </c>
      <c r="E4" s="415">
        <v>10</v>
      </c>
      <c r="F4" s="415" t="s">
        <v>305</v>
      </c>
      <c r="G4" s="415">
        <v>15</v>
      </c>
      <c r="H4" s="415" t="s">
        <v>306</v>
      </c>
      <c r="I4" s="415" t="s">
        <v>307</v>
      </c>
      <c r="J4" s="415" t="s">
        <v>308</v>
      </c>
      <c r="K4" s="415">
        <v>17033011</v>
      </c>
      <c r="L4" s="41" t="e">
        <f>VLOOKUP(K4,WebPosting!$B$6:$B$561,1,FALSE)</f>
        <v>#N/A</v>
      </c>
      <c r="M4" s="46">
        <f>(($V4*1000)*(IFERROR($T4-WebPosting!$K$1,"0")))</f>
        <v>0</v>
      </c>
      <c r="N4" s="43">
        <f t="shared" si="0"/>
        <v>2250000</v>
      </c>
      <c r="O4" s="416" t="s">
        <v>660</v>
      </c>
      <c r="P4" s="416" t="s">
        <v>667</v>
      </c>
      <c r="Q4" s="416" t="s">
        <v>668</v>
      </c>
      <c r="R4" s="417">
        <v>42824</v>
      </c>
      <c r="S4" s="417">
        <v>42825</v>
      </c>
      <c r="T4" s="417">
        <v>42825</v>
      </c>
      <c r="U4" s="416">
        <v>0.75</v>
      </c>
      <c r="V4" s="418">
        <v>300000</v>
      </c>
      <c r="W4" s="419">
        <v>300000000</v>
      </c>
      <c r="X4" s="419">
        <v>6250</v>
      </c>
      <c r="Y4" s="416" t="s">
        <v>663</v>
      </c>
      <c r="Z4" s="416" t="s">
        <v>664</v>
      </c>
      <c r="AA4" s="416" t="s">
        <v>665</v>
      </c>
      <c r="AB4" s="416" t="s">
        <v>666</v>
      </c>
      <c r="AC4" s="416" t="s">
        <v>666</v>
      </c>
      <c r="AD4" s="380"/>
      <c r="AG4" s="53"/>
      <c r="AH4" s="54"/>
    </row>
    <row r="5" spans="1:35">
      <c r="A5" s="415">
        <v>1</v>
      </c>
      <c r="B5" s="415" t="s">
        <v>303</v>
      </c>
      <c r="C5" s="415">
        <v>10</v>
      </c>
      <c r="D5" s="415" t="s">
        <v>304</v>
      </c>
      <c r="E5" s="415">
        <v>10</v>
      </c>
      <c r="F5" s="415" t="s">
        <v>305</v>
      </c>
      <c r="G5" s="415">
        <v>15</v>
      </c>
      <c r="H5" s="415" t="s">
        <v>306</v>
      </c>
      <c r="I5" s="415" t="s">
        <v>307</v>
      </c>
      <c r="J5" s="415" t="s">
        <v>308</v>
      </c>
      <c r="K5" s="415">
        <v>17033019</v>
      </c>
      <c r="L5" s="41" t="e">
        <f>VLOOKUP(K5,WebPosting!$B$6:$B$561,1,FALSE)</f>
        <v>#N/A</v>
      </c>
      <c r="M5" s="46">
        <f>(($V5*1000)*(IFERROR($T5-WebPosting!$K$1,"0")))</f>
        <v>0</v>
      </c>
      <c r="N5" s="43">
        <f t="shared" si="0"/>
        <v>2581949.9999999995</v>
      </c>
      <c r="O5" s="416" t="s">
        <v>660</v>
      </c>
      <c r="P5" s="416" t="s">
        <v>669</v>
      </c>
      <c r="Q5" s="416" t="s">
        <v>670</v>
      </c>
      <c r="R5" s="417">
        <v>42824</v>
      </c>
      <c r="S5" s="417">
        <v>42825</v>
      </c>
      <c r="T5" s="417">
        <v>42825</v>
      </c>
      <c r="U5" s="416">
        <v>0.7</v>
      </c>
      <c r="V5" s="418">
        <v>368850</v>
      </c>
      <c r="W5" s="419">
        <v>368850000</v>
      </c>
      <c r="X5" s="419">
        <v>7172.1</v>
      </c>
      <c r="Y5" s="416" t="s">
        <v>663</v>
      </c>
      <c r="Z5" s="416" t="s">
        <v>664</v>
      </c>
      <c r="AA5" s="416" t="s">
        <v>665</v>
      </c>
      <c r="AB5" s="416" t="s">
        <v>666</v>
      </c>
      <c r="AC5" s="416" t="s">
        <v>666</v>
      </c>
      <c r="AD5" s="380"/>
      <c r="AH5" s="54"/>
    </row>
    <row r="6" spans="1:35">
      <c r="A6" s="415">
        <v>1</v>
      </c>
      <c r="B6" s="415" t="s">
        <v>303</v>
      </c>
      <c r="C6" s="415">
        <v>10</v>
      </c>
      <c r="D6" s="415" t="s">
        <v>304</v>
      </c>
      <c r="E6" s="415">
        <v>10</v>
      </c>
      <c r="F6" s="415" t="s">
        <v>305</v>
      </c>
      <c r="G6" s="415">
        <v>15</v>
      </c>
      <c r="H6" s="415" t="s">
        <v>306</v>
      </c>
      <c r="I6" s="415" t="s">
        <v>307</v>
      </c>
      <c r="J6" s="415" t="s">
        <v>308</v>
      </c>
      <c r="K6" s="415">
        <v>17033101</v>
      </c>
      <c r="L6" s="41" t="e">
        <f>VLOOKUP(K6,WebPosting!$B$6:$B$561,1,FALSE)</f>
        <v>#N/A</v>
      </c>
      <c r="M6" s="46">
        <f>(($V6*1000)*(IFERROR($T6-WebPosting!$K$1,"0")))</f>
        <v>0</v>
      </c>
      <c r="N6" s="43">
        <f t="shared" si="0"/>
        <v>12341.6</v>
      </c>
      <c r="O6" s="416" t="s">
        <v>660</v>
      </c>
      <c r="P6" s="416" t="s">
        <v>671</v>
      </c>
      <c r="Q6" s="416" t="s">
        <v>390</v>
      </c>
      <c r="R6" s="417">
        <v>42824</v>
      </c>
      <c r="S6" s="417">
        <v>42825</v>
      </c>
      <c r="T6" s="417">
        <v>42825</v>
      </c>
      <c r="U6" s="416">
        <v>0.08</v>
      </c>
      <c r="V6" s="418">
        <v>15427</v>
      </c>
      <c r="W6" s="419">
        <v>15427084.029999999</v>
      </c>
      <c r="X6" s="416">
        <v>34.28</v>
      </c>
      <c r="Y6" s="416" t="s">
        <v>663</v>
      </c>
      <c r="Z6" s="416" t="s">
        <v>664</v>
      </c>
      <c r="AA6" s="416" t="s">
        <v>665</v>
      </c>
      <c r="AB6" s="416" t="s">
        <v>666</v>
      </c>
      <c r="AC6" s="416" t="s">
        <v>666</v>
      </c>
      <c r="AD6" s="380"/>
      <c r="AG6" s="53"/>
      <c r="AH6" s="54"/>
      <c r="AI6" s="54"/>
    </row>
    <row r="7" spans="1:35">
      <c r="A7" s="415">
        <v>1</v>
      </c>
      <c r="B7" s="415" t="s">
        <v>303</v>
      </c>
      <c r="C7" s="415">
        <v>10</v>
      </c>
      <c r="D7" s="415" t="s">
        <v>304</v>
      </c>
      <c r="E7" s="415">
        <v>40</v>
      </c>
      <c r="F7" s="415" t="s">
        <v>309</v>
      </c>
      <c r="G7" s="415">
        <v>15</v>
      </c>
      <c r="H7" s="415" t="s">
        <v>310</v>
      </c>
      <c r="I7" s="415" t="s">
        <v>311</v>
      </c>
      <c r="J7" s="415" t="s">
        <v>312</v>
      </c>
      <c r="K7" s="415">
        <v>17033103</v>
      </c>
      <c r="L7" s="41" t="e">
        <f>VLOOKUP(K7,WebPosting!$B$6:$B$561,1,FALSE)</f>
        <v>#N/A</v>
      </c>
      <c r="M7" s="46">
        <f>(($V7*1000)*(IFERROR($T7-WebPosting!$K$1,"0")))</f>
        <v>0</v>
      </c>
      <c r="N7" s="43">
        <f t="shared" si="0"/>
        <v>292</v>
      </c>
      <c r="O7" s="416" t="s">
        <v>660</v>
      </c>
      <c r="P7" s="416" t="s">
        <v>671</v>
      </c>
      <c r="Q7" s="416" t="s">
        <v>390</v>
      </c>
      <c r="R7" s="417">
        <v>42824</v>
      </c>
      <c r="S7" s="417">
        <v>42825</v>
      </c>
      <c r="T7" s="417">
        <v>42825</v>
      </c>
      <c r="U7" s="416">
        <v>0.08</v>
      </c>
      <c r="V7" s="416">
        <v>365</v>
      </c>
      <c r="W7" s="419">
        <v>364996.31</v>
      </c>
      <c r="X7" s="416">
        <v>0.81</v>
      </c>
      <c r="Y7" s="416" t="s">
        <v>663</v>
      </c>
      <c r="Z7" s="416" t="s">
        <v>664</v>
      </c>
      <c r="AA7" s="416" t="s">
        <v>665</v>
      </c>
      <c r="AB7" s="416" t="s">
        <v>666</v>
      </c>
      <c r="AC7" s="416" t="s">
        <v>666</v>
      </c>
      <c r="AD7" s="380"/>
      <c r="AG7" s="53"/>
      <c r="AH7" s="54"/>
    </row>
    <row r="8" spans="1:35">
      <c r="A8" s="415">
        <v>1</v>
      </c>
      <c r="B8" s="415" t="s">
        <v>303</v>
      </c>
      <c r="C8" s="415">
        <v>10</v>
      </c>
      <c r="D8" s="415" t="s">
        <v>304</v>
      </c>
      <c r="E8" s="415">
        <v>40</v>
      </c>
      <c r="F8" s="415" t="s">
        <v>309</v>
      </c>
      <c r="G8" s="415">
        <v>16</v>
      </c>
      <c r="H8" s="415" t="s">
        <v>313</v>
      </c>
      <c r="I8" s="415" t="s">
        <v>314</v>
      </c>
      <c r="J8" s="415" t="s">
        <v>315</v>
      </c>
      <c r="K8" s="415">
        <v>17033105</v>
      </c>
      <c r="L8" s="41" t="e">
        <f>VLOOKUP(K8,WebPosting!$B$6:$B$561,1,FALSE)</f>
        <v>#N/A</v>
      </c>
      <c r="M8" s="46">
        <f>(($V8*1000)*(IFERROR($T8-WebPosting!$K$1,"0")))</f>
        <v>0</v>
      </c>
      <c r="N8" s="43">
        <f t="shared" si="0"/>
        <v>402.40000000000003</v>
      </c>
      <c r="O8" s="416" t="s">
        <v>660</v>
      </c>
      <c r="P8" s="416" t="s">
        <v>671</v>
      </c>
      <c r="Q8" s="416" t="s">
        <v>390</v>
      </c>
      <c r="R8" s="417">
        <v>42824</v>
      </c>
      <c r="S8" s="417">
        <v>42825</v>
      </c>
      <c r="T8" s="417">
        <v>42825</v>
      </c>
      <c r="U8" s="416">
        <v>0.08</v>
      </c>
      <c r="V8" s="416">
        <v>503</v>
      </c>
      <c r="W8" s="419">
        <v>503176.9</v>
      </c>
      <c r="X8" s="416">
        <v>1.1200000000000001</v>
      </c>
      <c r="Y8" s="416" t="s">
        <v>663</v>
      </c>
      <c r="Z8" s="416" t="s">
        <v>664</v>
      </c>
      <c r="AA8" s="416" t="s">
        <v>665</v>
      </c>
      <c r="AB8" s="416" t="s">
        <v>666</v>
      </c>
      <c r="AC8" s="416" t="s">
        <v>666</v>
      </c>
      <c r="AD8" s="381"/>
      <c r="AG8" s="53"/>
      <c r="AH8" s="54"/>
    </row>
    <row r="9" spans="1:35">
      <c r="A9" s="415">
        <v>1</v>
      </c>
      <c r="B9" s="415" t="s">
        <v>303</v>
      </c>
      <c r="C9" s="415">
        <v>10</v>
      </c>
      <c r="D9" s="415" t="s">
        <v>304</v>
      </c>
      <c r="E9" s="415">
        <v>40</v>
      </c>
      <c r="F9" s="415" t="s">
        <v>309</v>
      </c>
      <c r="G9" s="415">
        <v>53</v>
      </c>
      <c r="H9" s="415" t="s">
        <v>1068</v>
      </c>
      <c r="I9" s="415" t="s">
        <v>1069</v>
      </c>
      <c r="J9" s="415" t="s">
        <v>1070</v>
      </c>
      <c r="K9" s="415">
        <v>17033109</v>
      </c>
      <c r="L9" s="41" t="e">
        <f>VLOOKUP(K9,WebPosting!$B$6:$B$561,1,FALSE)</f>
        <v>#N/A</v>
      </c>
      <c r="M9" s="46">
        <f>(($V9*1000)*(IFERROR($T9-WebPosting!$K$1,"0")))</f>
        <v>0</v>
      </c>
      <c r="N9" s="43">
        <f t="shared" si="0"/>
        <v>1999.8</v>
      </c>
      <c r="O9" s="416" t="s">
        <v>660</v>
      </c>
      <c r="P9" s="416" t="s">
        <v>1075</v>
      </c>
      <c r="Q9" s="416" t="s">
        <v>1068</v>
      </c>
      <c r="R9" s="417">
        <v>42824</v>
      </c>
      <c r="S9" s="417">
        <v>42825</v>
      </c>
      <c r="T9" s="417">
        <v>42825</v>
      </c>
      <c r="U9" s="416">
        <v>0.18</v>
      </c>
      <c r="V9" s="418">
        <v>1111</v>
      </c>
      <c r="W9" s="419">
        <v>1111020.07</v>
      </c>
      <c r="X9" s="416">
        <v>5.48</v>
      </c>
      <c r="Y9" s="416" t="s">
        <v>738</v>
      </c>
      <c r="Z9" s="416" t="s">
        <v>664</v>
      </c>
      <c r="AA9" s="416" t="s">
        <v>665</v>
      </c>
      <c r="AB9" s="416" t="s">
        <v>666</v>
      </c>
      <c r="AC9" s="416" t="s">
        <v>666</v>
      </c>
      <c r="AD9" s="381"/>
      <c r="AG9" s="53"/>
      <c r="AH9" s="54"/>
    </row>
    <row r="10" spans="1:35">
      <c r="A10" s="415">
        <v>1</v>
      </c>
      <c r="B10" s="415" t="s">
        <v>303</v>
      </c>
      <c r="C10" s="415">
        <v>10</v>
      </c>
      <c r="D10" s="415" t="s">
        <v>304</v>
      </c>
      <c r="E10" s="415">
        <v>43</v>
      </c>
      <c r="F10" s="415" t="s">
        <v>1059</v>
      </c>
      <c r="G10" s="415">
        <v>15</v>
      </c>
      <c r="H10" s="415" t="s">
        <v>331</v>
      </c>
      <c r="I10" s="415" t="s">
        <v>1060</v>
      </c>
      <c r="J10" s="415" t="s">
        <v>1061</v>
      </c>
      <c r="K10" s="415">
        <v>17033014</v>
      </c>
      <c r="L10" s="41" t="e">
        <f>VLOOKUP(K10,WebPosting!$B$6:$B$561,1,FALSE)</f>
        <v>#N/A</v>
      </c>
      <c r="M10" s="46">
        <f>(($V10*1000)*(IFERROR($T10-WebPosting!$K$1,"0")))</f>
        <v>0</v>
      </c>
      <c r="N10" s="43">
        <f t="shared" si="0"/>
        <v>5112</v>
      </c>
      <c r="O10" s="416" t="s">
        <v>660</v>
      </c>
      <c r="P10" s="416" t="s">
        <v>673</v>
      </c>
      <c r="Q10" s="416" t="s">
        <v>674</v>
      </c>
      <c r="R10" s="417">
        <v>42824</v>
      </c>
      <c r="S10" s="417">
        <v>42825</v>
      </c>
      <c r="T10" s="417">
        <v>42825</v>
      </c>
      <c r="U10" s="416">
        <v>0.71</v>
      </c>
      <c r="V10" s="416">
        <v>720</v>
      </c>
      <c r="W10" s="419">
        <v>720000</v>
      </c>
      <c r="X10" s="416">
        <v>14.2</v>
      </c>
      <c r="Y10" s="416" t="s">
        <v>663</v>
      </c>
      <c r="Z10" s="416" t="s">
        <v>664</v>
      </c>
      <c r="AA10" s="416" t="s">
        <v>665</v>
      </c>
      <c r="AB10" s="416" t="s">
        <v>666</v>
      </c>
      <c r="AC10" s="416" t="s">
        <v>666</v>
      </c>
      <c r="AD10" s="381"/>
      <c r="AG10" s="53"/>
      <c r="AH10" s="54"/>
    </row>
    <row r="11" spans="1:35">
      <c r="A11" s="415">
        <v>1</v>
      </c>
      <c r="B11" s="415" t="s">
        <v>303</v>
      </c>
      <c r="C11" s="415">
        <v>10</v>
      </c>
      <c r="D11" s="415" t="s">
        <v>304</v>
      </c>
      <c r="E11" s="415">
        <v>44</v>
      </c>
      <c r="F11" s="415" t="s">
        <v>1071</v>
      </c>
      <c r="G11" s="415">
        <v>53</v>
      </c>
      <c r="H11" s="415" t="s">
        <v>1072</v>
      </c>
      <c r="I11" s="415" t="s">
        <v>1073</v>
      </c>
      <c r="J11" s="415" t="s">
        <v>1074</v>
      </c>
      <c r="K11" s="415">
        <v>17033119</v>
      </c>
      <c r="L11" s="41" t="e">
        <f>VLOOKUP(K11,WebPosting!$B$6:$B$561,1,FALSE)</f>
        <v>#N/A</v>
      </c>
      <c r="M11" s="46">
        <f>(($V11*1000)*(IFERROR($T11-WebPosting!$K$1,"0")))</f>
        <v>-480000</v>
      </c>
      <c r="N11" s="43">
        <f t="shared" si="0"/>
        <v>54</v>
      </c>
      <c r="O11" s="416" t="s">
        <v>660</v>
      </c>
      <c r="P11" s="416" t="s">
        <v>1075</v>
      </c>
      <c r="Q11" s="416" t="s">
        <v>1068</v>
      </c>
      <c r="R11" s="417">
        <v>42808</v>
      </c>
      <c r="S11" s="417">
        <v>42809</v>
      </c>
      <c r="T11" s="417">
        <v>42809</v>
      </c>
      <c r="U11" s="416">
        <v>0.18</v>
      </c>
      <c r="V11" s="416">
        <v>30</v>
      </c>
      <c r="W11" s="419">
        <v>30084.44</v>
      </c>
      <c r="X11" s="416">
        <v>0.15</v>
      </c>
      <c r="Y11" s="416" t="s">
        <v>738</v>
      </c>
      <c r="Z11" s="416" t="s">
        <v>664</v>
      </c>
      <c r="AA11" s="416" t="s">
        <v>665</v>
      </c>
      <c r="AB11" s="416" t="s">
        <v>666</v>
      </c>
      <c r="AC11" s="416" t="s">
        <v>666</v>
      </c>
      <c r="AD11" s="381"/>
      <c r="AG11" s="53"/>
      <c r="AH11" s="54"/>
      <c r="AI11" s="54"/>
    </row>
    <row r="12" spans="1:35">
      <c r="A12" s="415">
        <v>1</v>
      </c>
      <c r="B12" s="415" t="s">
        <v>303</v>
      </c>
      <c r="C12" s="415">
        <v>10</v>
      </c>
      <c r="D12" s="415" t="s">
        <v>304</v>
      </c>
      <c r="E12" s="415">
        <v>44</v>
      </c>
      <c r="F12" s="415" t="s">
        <v>1071</v>
      </c>
      <c r="G12" s="415">
        <v>53</v>
      </c>
      <c r="H12" s="415" t="s">
        <v>1072</v>
      </c>
      <c r="I12" s="415" t="s">
        <v>1073</v>
      </c>
      <c r="J12" s="415" t="s">
        <v>1074</v>
      </c>
      <c r="K12" s="415">
        <v>17033120</v>
      </c>
      <c r="L12" s="41" t="e">
        <f>VLOOKUP(K12,WebPosting!$B$6:$B$561,1,FALSE)</f>
        <v>#N/A</v>
      </c>
      <c r="M12" s="46">
        <f>(($V12*1000)*(IFERROR($T12-WebPosting!$K$1,"0")))</f>
        <v>-180000</v>
      </c>
      <c r="N12" s="43">
        <f t="shared" si="0"/>
        <v>36</v>
      </c>
      <c r="O12" s="416" t="s">
        <v>660</v>
      </c>
      <c r="P12" s="416" t="s">
        <v>1075</v>
      </c>
      <c r="Q12" s="416" t="s">
        <v>1068</v>
      </c>
      <c r="R12" s="417">
        <v>42815</v>
      </c>
      <c r="S12" s="417">
        <v>42816</v>
      </c>
      <c r="T12" s="417">
        <v>42816</v>
      </c>
      <c r="U12" s="416">
        <v>0.18</v>
      </c>
      <c r="V12" s="416">
        <v>20</v>
      </c>
      <c r="W12" s="419">
        <v>20084.439999999999</v>
      </c>
      <c r="X12" s="416">
        <v>0.1</v>
      </c>
      <c r="Y12" s="416" t="s">
        <v>738</v>
      </c>
      <c r="Z12" s="416" t="s">
        <v>664</v>
      </c>
      <c r="AA12" s="416" t="s">
        <v>665</v>
      </c>
      <c r="AB12" s="416" t="s">
        <v>666</v>
      </c>
      <c r="AC12" s="416" t="s">
        <v>666</v>
      </c>
      <c r="AD12" s="381"/>
      <c r="AG12" s="53"/>
      <c r="AH12" s="54"/>
    </row>
    <row r="13" spans="1:35">
      <c r="A13" s="415">
        <v>1</v>
      </c>
      <c r="B13" s="415" t="s">
        <v>303</v>
      </c>
      <c r="C13" s="415">
        <v>10</v>
      </c>
      <c r="D13" s="415" t="s">
        <v>304</v>
      </c>
      <c r="E13" s="415">
        <v>44</v>
      </c>
      <c r="F13" s="415" t="s">
        <v>1071</v>
      </c>
      <c r="G13" s="415">
        <v>53</v>
      </c>
      <c r="H13" s="415" t="s">
        <v>1072</v>
      </c>
      <c r="I13" s="415" t="s">
        <v>1073</v>
      </c>
      <c r="J13" s="415" t="s">
        <v>1074</v>
      </c>
      <c r="K13" s="415">
        <v>17033122</v>
      </c>
      <c r="L13" s="41" t="e">
        <f>VLOOKUP(K13,WebPosting!$B$6:$B$561,1,FALSE)</f>
        <v>#N/A</v>
      </c>
      <c r="M13" s="46">
        <f>(($V13*1000)*(IFERROR($T13-WebPosting!$K$1,"0")))</f>
        <v>-160000</v>
      </c>
      <c r="N13" s="43">
        <f t="shared" si="0"/>
        <v>36</v>
      </c>
      <c r="O13" s="416" t="s">
        <v>660</v>
      </c>
      <c r="P13" s="416" t="s">
        <v>1075</v>
      </c>
      <c r="Q13" s="416" t="s">
        <v>1068</v>
      </c>
      <c r="R13" s="417">
        <v>42816</v>
      </c>
      <c r="S13" s="417">
        <v>42817</v>
      </c>
      <c r="T13" s="417">
        <v>42817</v>
      </c>
      <c r="U13" s="416">
        <v>0.18</v>
      </c>
      <c r="V13" s="416">
        <v>20</v>
      </c>
      <c r="W13" s="419">
        <v>20084.439999999999</v>
      </c>
      <c r="X13" s="416">
        <v>0.1</v>
      </c>
      <c r="Y13" s="416" t="s">
        <v>738</v>
      </c>
      <c r="Z13" s="416" t="s">
        <v>664</v>
      </c>
      <c r="AA13" s="416" t="s">
        <v>665</v>
      </c>
      <c r="AB13" s="416" t="s">
        <v>666</v>
      </c>
      <c r="AC13" s="416" t="s">
        <v>666</v>
      </c>
      <c r="AD13" s="381"/>
      <c r="AH13" s="54"/>
    </row>
    <row r="14" spans="1:35">
      <c r="A14" s="415">
        <v>1</v>
      </c>
      <c r="B14" s="415" t="s">
        <v>303</v>
      </c>
      <c r="C14" s="415">
        <v>10</v>
      </c>
      <c r="D14" s="415" t="s">
        <v>304</v>
      </c>
      <c r="E14" s="415">
        <v>44</v>
      </c>
      <c r="F14" s="415" t="s">
        <v>1071</v>
      </c>
      <c r="G14" s="415">
        <v>53</v>
      </c>
      <c r="H14" s="415" t="s">
        <v>1072</v>
      </c>
      <c r="I14" s="415" t="s">
        <v>1073</v>
      </c>
      <c r="J14" s="415" t="s">
        <v>1074</v>
      </c>
      <c r="K14" s="415">
        <v>17033123</v>
      </c>
      <c r="L14" s="41" t="e">
        <f>VLOOKUP(K14,WebPosting!$B$6:$B$561,1,FALSE)</f>
        <v>#N/A</v>
      </c>
      <c r="M14" s="46">
        <f>(($V14*1000)*(IFERROR($T14-WebPosting!$K$1,"0")))</f>
        <v>-200000</v>
      </c>
      <c r="N14" s="43">
        <f t="shared" si="0"/>
        <v>90</v>
      </c>
      <c r="O14" s="416" t="s">
        <v>660</v>
      </c>
      <c r="P14" s="416" t="s">
        <v>1075</v>
      </c>
      <c r="Q14" s="416" t="s">
        <v>1068</v>
      </c>
      <c r="R14" s="417">
        <v>42818</v>
      </c>
      <c r="S14" s="417">
        <v>42821</v>
      </c>
      <c r="T14" s="417">
        <v>42821</v>
      </c>
      <c r="U14" s="416">
        <v>0.18</v>
      </c>
      <c r="V14" s="416">
        <v>50</v>
      </c>
      <c r="W14" s="419">
        <v>50084.44</v>
      </c>
      <c r="X14" s="416">
        <v>0.74</v>
      </c>
      <c r="Y14" s="416" t="s">
        <v>738</v>
      </c>
      <c r="Z14" s="416" t="s">
        <v>664</v>
      </c>
      <c r="AA14" s="416" t="s">
        <v>665</v>
      </c>
      <c r="AB14" s="416" t="s">
        <v>666</v>
      </c>
      <c r="AC14" s="416" t="s">
        <v>666</v>
      </c>
      <c r="AG14" s="53"/>
      <c r="AH14" s="54"/>
    </row>
    <row r="15" spans="1:35">
      <c r="A15" s="415">
        <v>1</v>
      </c>
      <c r="B15" s="415" t="s">
        <v>303</v>
      </c>
      <c r="C15" s="415">
        <v>10</v>
      </c>
      <c r="D15" s="415" t="s">
        <v>304</v>
      </c>
      <c r="E15" s="415">
        <v>44</v>
      </c>
      <c r="F15" s="415" t="s">
        <v>1071</v>
      </c>
      <c r="G15" s="415">
        <v>53</v>
      </c>
      <c r="H15" s="415" t="s">
        <v>1072</v>
      </c>
      <c r="I15" s="415" t="s">
        <v>1073</v>
      </c>
      <c r="J15" s="415" t="s">
        <v>1074</v>
      </c>
      <c r="K15" s="415">
        <v>17033125</v>
      </c>
      <c r="L15" s="41" t="e">
        <f>VLOOKUP(K15,WebPosting!$B$6:$B$561,1,FALSE)</f>
        <v>#N/A</v>
      </c>
      <c r="M15" s="46">
        <f>(($V15*1000)*(IFERROR($T15-WebPosting!$K$1,"0")))</f>
        <v>-40000</v>
      </c>
      <c r="N15" s="43">
        <f t="shared" si="0"/>
        <v>36</v>
      </c>
      <c r="O15" s="416" t="s">
        <v>660</v>
      </c>
      <c r="P15" s="416" t="s">
        <v>1075</v>
      </c>
      <c r="Q15" s="416" t="s">
        <v>1068</v>
      </c>
      <c r="R15" s="417">
        <v>42822</v>
      </c>
      <c r="S15" s="417">
        <v>42823</v>
      </c>
      <c r="T15" s="417">
        <v>42823</v>
      </c>
      <c r="U15" s="416">
        <v>0.18</v>
      </c>
      <c r="V15" s="416">
        <v>20</v>
      </c>
      <c r="W15" s="419">
        <v>20084.439999999999</v>
      </c>
      <c r="X15" s="416">
        <v>0.1</v>
      </c>
      <c r="Y15" s="416" t="s">
        <v>738</v>
      </c>
      <c r="Z15" s="416" t="s">
        <v>664</v>
      </c>
      <c r="AA15" s="416" t="s">
        <v>665</v>
      </c>
      <c r="AB15" s="416" t="s">
        <v>666</v>
      </c>
      <c r="AC15" s="416" t="s">
        <v>666</v>
      </c>
      <c r="AG15" s="53"/>
      <c r="AH15" s="54"/>
    </row>
    <row r="16" spans="1:35">
      <c r="A16" s="415">
        <v>1</v>
      </c>
      <c r="B16" s="415" t="s">
        <v>303</v>
      </c>
      <c r="C16" s="415">
        <v>10</v>
      </c>
      <c r="D16" s="415" t="s">
        <v>304</v>
      </c>
      <c r="E16" s="415">
        <v>44</v>
      </c>
      <c r="F16" s="415" t="s">
        <v>1071</v>
      </c>
      <c r="G16" s="415">
        <v>53</v>
      </c>
      <c r="H16" s="415" t="s">
        <v>1072</v>
      </c>
      <c r="I16" s="415" t="s">
        <v>1073</v>
      </c>
      <c r="J16" s="415" t="s">
        <v>1074</v>
      </c>
      <c r="K16" s="415">
        <v>17033127</v>
      </c>
      <c r="L16" s="41" t="e">
        <f>VLOOKUP(K16,WebPosting!$B$6:$B$561,1,FALSE)</f>
        <v>#N/A</v>
      </c>
      <c r="M16" s="46">
        <f>(($V16*1000)*(IFERROR($T16-WebPosting!$K$1,"0")))</f>
        <v>-20000</v>
      </c>
      <c r="N16" s="43">
        <f t="shared" si="0"/>
        <v>36</v>
      </c>
      <c r="O16" s="416" t="s">
        <v>660</v>
      </c>
      <c r="P16" s="416" t="s">
        <v>1075</v>
      </c>
      <c r="Q16" s="416" t="s">
        <v>1068</v>
      </c>
      <c r="R16" s="417">
        <v>42823</v>
      </c>
      <c r="S16" s="417">
        <v>42824</v>
      </c>
      <c r="T16" s="417">
        <v>42824</v>
      </c>
      <c r="U16" s="416">
        <v>0.18</v>
      </c>
      <c r="V16" s="416">
        <v>20</v>
      </c>
      <c r="W16" s="419">
        <v>20084.439999999999</v>
      </c>
      <c r="X16" s="416">
        <v>0.1</v>
      </c>
      <c r="Y16" s="416" t="s">
        <v>738</v>
      </c>
      <c r="Z16" s="416" t="s">
        <v>664</v>
      </c>
      <c r="AA16" s="416" t="s">
        <v>665</v>
      </c>
      <c r="AB16" s="416" t="s">
        <v>666</v>
      </c>
      <c r="AC16" s="416" t="s">
        <v>666</v>
      </c>
      <c r="AG16" s="53"/>
      <c r="AH16" s="54"/>
    </row>
    <row r="17" spans="1:39">
      <c r="A17" s="415">
        <v>1</v>
      </c>
      <c r="B17" s="415" t="s">
        <v>303</v>
      </c>
      <c r="C17" s="415">
        <v>10</v>
      </c>
      <c r="D17" s="415" t="s">
        <v>304</v>
      </c>
      <c r="E17" s="415">
        <v>44</v>
      </c>
      <c r="F17" s="415" t="s">
        <v>1071</v>
      </c>
      <c r="G17" s="415">
        <v>53</v>
      </c>
      <c r="H17" s="415" t="s">
        <v>1072</v>
      </c>
      <c r="I17" s="415" t="s">
        <v>1073</v>
      </c>
      <c r="J17" s="415" t="s">
        <v>1074</v>
      </c>
      <c r="K17" s="415">
        <v>17033110</v>
      </c>
      <c r="L17" s="41" t="e">
        <f>VLOOKUP(K17,WebPosting!$B$6:$B$561,1,FALSE)</f>
        <v>#N/A</v>
      </c>
      <c r="M17" s="46">
        <f>(($V17*1000)*(IFERROR($T17-WebPosting!$K$1,"0")))</f>
        <v>0</v>
      </c>
      <c r="N17" s="43">
        <f t="shared" si="0"/>
        <v>54</v>
      </c>
      <c r="O17" s="416" t="s">
        <v>660</v>
      </c>
      <c r="P17" s="416" t="s">
        <v>1075</v>
      </c>
      <c r="Q17" s="416" t="s">
        <v>1068</v>
      </c>
      <c r="R17" s="417">
        <v>42824</v>
      </c>
      <c r="S17" s="417">
        <v>42825</v>
      </c>
      <c r="T17" s="417">
        <v>42825</v>
      </c>
      <c r="U17" s="416">
        <v>0.18</v>
      </c>
      <c r="V17" s="416">
        <v>30</v>
      </c>
      <c r="W17" s="419">
        <v>30084.44</v>
      </c>
      <c r="X17" s="416">
        <v>0.15</v>
      </c>
      <c r="Y17" s="416" t="s">
        <v>738</v>
      </c>
      <c r="Z17" s="416" t="s">
        <v>664</v>
      </c>
      <c r="AA17" s="416" t="s">
        <v>665</v>
      </c>
      <c r="AB17" s="416" t="s">
        <v>666</v>
      </c>
      <c r="AC17" s="416" t="s">
        <v>666</v>
      </c>
      <c r="AD17" s="42"/>
      <c r="AE17" s="42"/>
      <c r="AF17" s="42"/>
      <c r="AG17" s="55"/>
      <c r="AH17" s="56"/>
      <c r="AI17" s="42"/>
      <c r="AJ17" s="42"/>
      <c r="AK17" s="42"/>
      <c r="AL17" s="42"/>
      <c r="AM17" s="42"/>
    </row>
    <row r="18" spans="1:39">
      <c r="A18" s="415">
        <v>1</v>
      </c>
      <c r="B18" s="415" t="s">
        <v>303</v>
      </c>
      <c r="C18" s="415">
        <v>10</v>
      </c>
      <c r="D18" s="415" t="s">
        <v>304</v>
      </c>
      <c r="E18" s="415">
        <v>45</v>
      </c>
      <c r="F18" s="415" t="s">
        <v>316</v>
      </c>
      <c r="G18" s="415">
        <v>15</v>
      </c>
      <c r="H18" s="415" t="s">
        <v>317</v>
      </c>
      <c r="I18" s="415" t="s">
        <v>318</v>
      </c>
      <c r="J18" s="415" t="s">
        <v>319</v>
      </c>
      <c r="K18" s="415">
        <v>17033016</v>
      </c>
      <c r="L18" s="41" t="e">
        <f>VLOOKUP(K18,WebPosting!$B$6:$B$561,1,FALSE)</f>
        <v>#N/A</v>
      </c>
      <c r="M18" s="46">
        <f>(($V18*1000)*(IFERROR($T18-WebPosting!$K$1,"0")))</f>
        <v>0</v>
      </c>
      <c r="N18" s="43">
        <f t="shared" si="0"/>
        <v>39549.999999999993</v>
      </c>
      <c r="O18" s="416" t="s">
        <v>660</v>
      </c>
      <c r="P18" s="416" t="s">
        <v>669</v>
      </c>
      <c r="Q18" s="416" t="s">
        <v>670</v>
      </c>
      <c r="R18" s="417">
        <v>42824</v>
      </c>
      <c r="S18" s="417">
        <v>42825</v>
      </c>
      <c r="T18" s="417">
        <v>42825</v>
      </c>
      <c r="U18" s="416">
        <v>0.7</v>
      </c>
      <c r="V18" s="418">
        <v>5650</v>
      </c>
      <c r="W18" s="419">
        <v>5650000</v>
      </c>
      <c r="X18" s="416">
        <v>109.86</v>
      </c>
      <c r="Y18" s="416" t="s">
        <v>663</v>
      </c>
      <c r="Z18" s="416" t="s">
        <v>664</v>
      </c>
      <c r="AA18" s="416" t="s">
        <v>665</v>
      </c>
      <c r="AB18" s="416" t="s">
        <v>666</v>
      </c>
      <c r="AC18" s="416" t="s">
        <v>666</v>
      </c>
      <c r="AD18" s="42"/>
      <c r="AE18" s="42"/>
      <c r="AF18" s="42"/>
      <c r="AG18" s="55"/>
      <c r="AH18" s="56"/>
      <c r="AI18" s="56"/>
      <c r="AJ18" s="42"/>
      <c r="AK18" s="42"/>
      <c r="AL18" s="42"/>
      <c r="AM18" s="42"/>
    </row>
    <row r="19" spans="1:39">
      <c r="A19" s="415">
        <v>1</v>
      </c>
      <c r="B19" s="415" t="s">
        <v>303</v>
      </c>
      <c r="C19" s="415">
        <v>10</v>
      </c>
      <c r="D19" s="415" t="s">
        <v>304</v>
      </c>
      <c r="E19" s="415">
        <v>45</v>
      </c>
      <c r="F19" s="415" t="s">
        <v>316</v>
      </c>
      <c r="G19" s="415">
        <v>15</v>
      </c>
      <c r="H19" s="415" t="s">
        <v>317</v>
      </c>
      <c r="I19" s="415" t="s">
        <v>318</v>
      </c>
      <c r="J19" s="415" t="s">
        <v>319</v>
      </c>
      <c r="K19" s="415">
        <v>17033108</v>
      </c>
      <c r="L19" s="41" t="e">
        <f>VLOOKUP(K19,WebPosting!$B$6:$B$561,1,FALSE)</f>
        <v>#N/A</v>
      </c>
      <c r="M19" s="46">
        <f>(($V19*1000)*(IFERROR($T19-WebPosting!$K$1,"0")))</f>
        <v>0</v>
      </c>
      <c r="N19" s="43">
        <f t="shared" si="0"/>
        <v>8</v>
      </c>
      <c r="O19" s="416" t="s">
        <v>660</v>
      </c>
      <c r="P19" s="416" t="s">
        <v>671</v>
      </c>
      <c r="Q19" s="416" t="s">
        <v>390</v>
      </c>
      <c r="R19" s="417">
        <v>42824</v>
      </c>
      <c r="S19" s="417">
        <v>42825</v>
      </c>
      <c r="T19" s="417">
        <v>42825</v>
      </c>
      <c r="U19" s="416">
        <v>0.08</v>
      </c>
      <c r="V19" s="416">
        <v>10</v>
      </c>
      <c r="W19" s="419">
        <v>10446.85</v>
      </c>
      <c r="X19" s="416">
        <v>0.02</v>
      </c>
      <c r="Y19" s="416" t="s">
        <v>663</v>
      </c>
      <c r="Z19" s="416" t="s">
        <v>664</v>
      </c>
      <c r="AA19" s="416" t="s">
        <v>665</v>
      </c>
      <c r="AB19" s="416" t="s">
        <v>666</v>
      </c>
      <c r="AC19" s="416" t="s">
        <v>666</v>
      </c>
      <c r="AD19" s="42"/>
      <c r="AE19" s="42"/>
      <c r="AF19" s="42"/>
      <c r="AG19" s="55"/>
      <c r="AH19" s="56"/>
      <c r="AI19" s="42"/>
      <c r="AJ19" s="42"/>
      <c r="AK19" s="42"/>
      <c r="AL19" s="42"/>
      <c r="AM19" s="42"/>
    </row>
    <row r="20" spans="1:39" ht="13.5" customHeight="1">
      <c r="A20" s="415">
        <v>1</v>
      </c>
      <c r="B20" s="415" t="s">
        <v>303</v>
      </c>
      <c r="C20" s="415">
        <v>10</v>
      </c>
      <c r="D20" s="415" t="s">
        <v>304</v>
      </c>
      <c r="E20" s="415">
        <v>47</v>
      </c>
      <c r="F20" s="415" t="s">
        <v>320</v>
      </c>
      <c r="G20" s="415">
        <v>15</v>
      </c>
      <c r="H20" s="415" t="s">
        <v>321</v>
      </c>
      <c r="I20" s="415" t="s">
        <v>322</v>
      </c>
      <c r="J20" s="415" t="s">
        <v>323</v>
      </c>
      <c r="K20" s="415">
        <v>17033107</v>
      </c>
      <c r="L20" s="41" t="e">
        <f>VLOOKUP(K20,WebPosting!$B$6:$B$561,1,FALSE)</f>
        <v>#N/A</v>
      </c>
      <c r="M20" s="46">
        <f>(($V20*1000)*(IFERROR($T20-WebPosting!$K$1,"0")))</f>
        <v>0</v>
      </c>
      <c r="N20" s="43">
        <f t="shared" si="0"/>
        <v>4</v>
      </c>
      <c r="O20" s="416" t="s">
        <v>660</v>
      </c>
      <c r="P20" s="416" t="s">
        <v>671</v>
      </c>
      <c r="Q20" s="416" t="s">
        <v>390</v>
      </c>
      <c r="R20" s="417">
        <v>42824</v>
      </c>
      <c r="S20" s="417">
        <v>42825</v>
      </c>
      <c r="T20" s="417">
        <v>42825</v>
      </c>
      <c r="U20" s="416">
        <v>0.08</v>
      </c>
      <c r="V20" s="416">
        <v>5</v>
      </c>
      <c r="W20" s="419">
        <v>4703.1000000000004</v>
      </c>
      <c r="X20" s="416">
        <v>0.01</v>
      </c>
      <c r="Y20" s="416" t="s">
        <v>663</v>
      </c>
      <c r="Z20" s="416" t="s">
        <v>664</v>
      </c>
      <c r="AA20" s="416" t="s">
        <v>665</v>
      </c>
      <c r="AB20" s="416" t="s">
        <v>666</v>
      </c>
      <c r="AC20" s="416" t="s">
        <v>666</v>
      </c>
      <c r="AD20" s="42"/>
      <c r="AE20" s="42"/>
      <c r="AF20" s="42"/>
      <c r="AG20" s="55"/>
      <c r="AH20" s="56"/>
      <c r="AI20" s="42"/>
      <c r="AJ20" s="42"/>
      <c r="AK20" s="42"/>
      <c r="AL20" s="42"/>
      <c r="AM20" s="42"/>
    </row>
    <row r="21" spans="1:39">
      <c r="A21" s="415">
        <v>1</v>
      </c>
      <c r="B21" s="415" t="s">
        <v>303</v>
      </c>
      <c r="C21" s="415">
        <v>10</v>
      </c>
      <c r="D21" s="415" t="s">
        <v>304</v>
      </c>
      <c r="E21" s="415">
        <v>50</v>
      </c>
      <c r="F21" s="415" t="s">
        <v>324</v>
      </c>
      <c r="G21" s="415">
        <v>15</v>
      </c>
      <c r="H21" s="415" t="s">
        <v>325</v>
      </c>
      <c r="I21" s="415" t="s">
        <v>307</v>
      </c>
      <c r="J21" s="415" t="s">
        <v>308</v>
      </c>
      <c r="K21" s="415">
        <v>17033102</v>
      </c>
      <c r="L21" s="41" t="e">
        <f>VLOOKUP(K21,WebPosting!$B$6:$B$561,1,FALSE)</f>
        <v>#N/A</v>
      </c>
      <c r="M21" s="46">
        <f>(($V21*1000)*(IFERROR($T21-WebPosting!$K$1,"0")))</f>
        <v>0</v>
      </c>
      <c r="N21" s="43">
        <f t="shared" si="0"/>
        <v>144.80000000000001</v>
      </c>
      <c r="O21" s="416" t="s">
        <v>660</v>
      </c>
      <c r="P21" s="416" t="s">
        <v>671</v>
      </c>
      <c r="Q21" s="416" t="s">
        <v>390</v>
      </c>
      <c r="R21" s="417">
        <v>42824</v>
      </c>
      <c r="S21" s="417">
        <v>42825</v>
      </c>
      <c r="T21" s="417">
        <v>42825</v>
      </c>
      <c r="U21" s="416">
        <v>0.08</v>
      </c>
      <c r="V21" s="416">
        <v>181</v>
      </c>
      <c r="W21" s="419">
        <v>180592.62</v>
      </c>
      <c r="X21" s="416">
        <v>0.4</v>
      </c>
      <c r="Y21" s="416" t="s">
        <v>663</v>
      </c>
      <c r="Z21" s="416" t="s">
        <v>664</v>
      </c>
      <c r="AA21" s="416" t="s">
        <v>665</v>
      </c>
      <c r="AB21" s="416" t="s">
        <v>666</v>
      </c>
      <c r="AC21" s="416" t="s">
        <v>666</v>
      </c>
      <c r="AD21" s="42"/>
      <c r="AE21" s="42"/>
      <c r="AF21" s="42"/>
      <c r="AG21" s="42"/>
      <c r="AH21" s="56"/>
      <c r="AI21" s="42"/>
      <c r="AJ21" s="42"/>
      <c r="AK21" s="42"/>
      <c r="AL21" s="42"/>
      <c r="AM21" s="42"/>
    </row>
    <row r="22" spans="1:39" s="42" customFormat="1">
      <c r="A22" s="415">
        <v>1</v>
      </c>
      <c r="B22" s="415" t="s">
        <v>303</v>
      </c>
      <c r="C22" s="415">
        <v>10</v>
      </c>
      <c r="D22" s="415" t="s">
        <v>304</v>
      </c>
      <c r="E22" s="415">
        <v>60</v>
      </c>
      <c r="F22" s="415" t="s">
        <v>326</v>
      </c>
      <c r="G22" s="415">
        <v>15</v>
      </c>
      <c r="H22" s="415" t="s">
        <v>327</v>
      </c>
      <c r="I22" s="415" t="s">
        <v>328</v>
      </c>
      <c r="J22" s="415" t="s">
        <v>329</v>
      </c>
      <c r="K22" s="415">
        <v>17033012</v>
      </c>
      <c r="L22" s="41" t="e">
        <f>VLOOKUP(K22,WebPosting!$B$6:$B$561,1,FALSE)</f>
        <v>#N/A</v>
      </c>
      <c r="M22" s="46">
        <f>(($V22*1000)*(IFERROR($T22-WebPosting!$K$1,"0")))</f>
        <v>0</v>
      </c>
      <c r="N22" s="43">
        <f t="shared" si="0"/>
        <v>1041960.4999999999</v>
      </c>
      <c r="O22" s="416" t="s">
        <v>660</v>
      </c>
      <c r="P22" s="416" t="s">
        <v>673</v>
      </c>
      <c r="Q22" s="416" t="s">
        <v>674</v>
      </c>
      <c r="R22" s="417">
        <v>42824</v>
      </c>
      <c r="S22" s="417">
        <v>42825</v>
      </c>
      <c r="T22" s="417">
        <v>42825</v>
      </c>
      <c r="U22" s="416">
        <v>0.71</v>
      </c>
      <c r="V22" s="418">
        <v>146755</v>
      </c>
      <c r="W22" s="419">
        <v>146755000</v>
      </c>
      <c r="X22" s="419">
        <v>2894.33</v>
      </c>
      <c r="Y22" s="416" t="s">
        <v>663</v>
      </c>
      <c r="Z22" s="416" t="s">
        <v>664</v>
      </c>
      <c r="AA22" s="416" t="s">
        <v>665</v>
      </c>
      <c r="AB22" s="416" t="s">
        <v>666</v>
      </c>
      <c r="AC22" s="416" t="s">
        <v>666</v>
      </c>
      <c r="AG22" s="55"/>
      <c r="AH22" s="56"/>
    </row>
    <row r="23" spans="1:39" s="42" customFormat="1">
      <c r="A23" s="415">
        <v>1</v>
      </c>
      <c r="B23" s="415" t="s">
        <v>303</v>
      </c>
      <c r="C23" s="415">
        <v>10</v>
      </c>
      <c r="D23" s="415" t="s">
        <v>304</v>
      </c>
      <c r="E23" s="415">
        <v>61</v>
      </c>
      <c r="F23" s="415" t="s">
        <v>330</v>
      </c>
      <c r="G23" s="415">
        <v>15</v>
      </c>
      <c r="H23" s="415" t="s">
        <v>331</v>
      </c>
      <c r="I23" s="415" t="s">
        <v>332</v>
      </c>
      <c r="J23" s="415" t="s">
        <v>333</v>
      </c>
      <c r="K23" s="415">
        <v>17033013</v>
      </c>
      <c r="L23" s="41" t="e">
        <f>VLOOKUP(K23,WebPosting!$B$6:$B$561,1,FALSE)</f>
        <v>#N/A</v>
      </c>
      <c r="M23" s="46">
        <f>(($V23*1000)*(IFERROR($T23-WebPosting!$K$1,"0")))</f>
        <v>0</v>
      </c>
      <c r="N23" s="43">
        <f t="shared" si="0"/>
        <v>352976.5</v>
      </c>
      <c r="O23" s="416" t="s">
        <v>660</v>
      </c>
      <c r="P23" s="416" t="s">
        <v>673</v>
      </c>
      <c r="Q23" s="416" t="s">
        <v>674</v>
      </c>
      <c r="R23" s="417">
        <v>42824</v>
      </c>
      <c r="S23" s="417">
        <v>42825</v>
      </c>
      <c r="T23" s="417">
        <v>42825</v>
      </c>
      <c r="U23" s="416">
        <v>0.71</v>
      </c>
      <c r="V23" s="418">
        <v>49715</v>
      </c>
      <c r="W23" s="419">
        <v>49715000</v>
      </c>
      <c r="X23" s="416">
        <v>980.49</v>
      </c>
      <c r="Y23" s="416" t="s">
        <v>663</v>
      </c>
      <c r="Z23" s="416" t="s">
        <v>664</v>
      </c>
      <c r="AA23" s="416" t="s">
        <v>665</v>
      </c>
      <c r="AB23" s="416" t="s">
        <v>666</v>
      </c>
      <c r="AC23" s="416" t="s">
        <v>666</v>
      </c>
      <c r="AD23" s="381"/>
      <c r="AE23" s="40"/>
      <c r="AF23" s="40"/>
      <c r="AG23" s="53"/>
      <c r="AH23" s="54"/>
      <c r="AI23" s="40"/>
      <c r="AJ23" s="40"/>
      <c r="AK23" s="40"/>
      <c r="AL23" s="40"/>
      <c r="AM23" s="40"/>
    </row>
    <row r="24" spans="1:39" s="42" customFormat="1">
      <c r="A24" s="415">
        <v>1</v>
      </c>
      <c r="B24" s="415" t="s">
        <v>303</v>
      </c>
      <c r="C24" s="415">
        <v>10</v>
      </c>
      <c r="D24" s="415" t="s">
        <v>304</v>
      </c>
      <c r="E24" s="415">
        <v>68</v>
      </c>
      <c r="F24" s="415" t="s">
        <v>1062</v>
      </c>
      <c r="G24" s="415">
        <v>15</v>
      </c>
      <c r="H24" s="415" t="s">
        <v>390</v>
      </c>
      <c r="I24" s="415" t="s">
        <v>307</v>
      </c>
      <c r="J24" s="415" t="s">
        <v>308</v>
      </c>
      <c r="K24" s="415">
        <v>17033104</v>
      </c>
      <c r="L24" s="41" t="e">
        <f>VLOOKUP(K24,WebPosting!$B$6:$B$561,1,FALSE)</f>
        <v>#N/A</v>
      </c>
      <c r="M24" s="46">
        <f>(($V24*1000)*(IFERROR($T24-WebPosting!$K$1,"0")))</f>
        <v>0</v>
      </c>
      <c r="N24" s="43">
        <f t="shared" si="0"/>
        <v>0.8</v>
      </c>
      <c r="O24" s="416" t="s">
        <v>660</v>
      </c>
      <c r="P24" s="416" t="s">
        <v>671</v>
      </c>
      <c r="Q24" s="416" t="s">
        <v>390</v>
      </c>
      <c r="R24" s="417">
        <v>42824</v>
      </c>
      <c r="S24" s="417">
        <v>42825</v>
      </c>
      <c r="T24" s="417">
        <v>42825</v>
      </c>
      <c r="U24" s="416">
        <v>0.08</v>
      </c>
      <c r="V24" s="416">
        <v>1</v>
      </c>
      <c r="W24" s="419">
        <v>1326.48</v>
      </c>
      <c r="X24" s="416">
        <v>0</v>
      </c>
      <c r="Y24" s="416" t="s">
        <v>663</v>
      </c>
      <c r="Z24" s="416" t="s">
        <v>664</v>
      </c>
      <c r="AA24" s="416" t="s">
        <v>665</v>
      </c>
      <c r="AB24" s="416" t="s">
        <v>666</v>
      </c>
      <c r="AC24" s="416" t="s">
        <v>666</v>
      </c>
      <c r="AD24" s="381"/>
      <c r="AE24" s="40"/>
      <c r="AF24" s="40"/>
      <c r="AG24" s="53"/>
      <c r="AH24" s="54"/>
      <c r="AI24" s="54"/>
      <c r="AJ24" s="40"/>
      <c r="AK24" s="40"/>
      <c r="AL24" s="40"/>
      <c r="AM24" s="40"/>
    </row>
    <row r="25" spans="1:39" s="42" customFormat="1">
      <c r="A25" s="415">
        <v>1</v>
      </c>
      <c r="B25" s="415" t="s">
        <v>303</v>
      </c>
      <c r="C25" s="415">
        <v>10</v>
      </c>
      <c r="D25" s="415" t="s">
        <v>304</v>
      </c>
      <c r="E25" s="415">
        <v>86</v>
      </c>
      <c r="F25" s="415" t="s">
        <v>334</v>
      </c>
      <c r="G25" s="415">
        <v>15</v>
      </c>
      <c r="H25" s="415" t="s">
        <v>335</v>
      </c>
      <c r="I25" s="415" t="s">
        <v>336</v>
      </c>
      <c r="J25" s="415" t="s">
        <v>337</v>
      </c>
      <c r="K25" s="415">
        <v>17033017</v>
      </c>
      <c r="L25" s="41" t="e">
        <f>VLOOKUP(K25,WebPosting!$B$6:$B$561,1,FALSE)</f>
        <v>#N/A</v>
      </c>
      <c r="M25" s="46">
        <f>(($V25*1000)*(IFERROR($T25-WebPosting!$K$1,"0")))</f>
        <v>0</v>
      </c>
      <c r="N25" s="43">
        <f t="shared" si="0"/>
        <v>17500</v>
      </c>
      <c r="O25" s="416" t="s">
        <v>660</v>
      </c>
      <c r="P25" s="416" t="s">
        <v>669</v>
      </c>
      <c r="Q25" s="416" t="s">
        <v>670</v>
      </c>
      <c r="R25" s="417">
        <v>42824</v>
      </c>
      <c r="S25" s="417">
        <v>42825</v>
      </c>
      <c r="T25" s="417">
        <v>42825</v>
      </c>
      <c r="U25" s="416">
        <v>0.7</v>
      </c>
      <c r="V25" s="418">
        <v>2500</v>
      </c>
      <c r="W25" s="419">
        <v>2500000</v>
      </c>
      <c r="X25" s="416">
        <v>48.61</v>
      </c>
      <c r="Y25" s="416" t="s">
        <v>663</v>
      </c>
      <c r="Z25" s="416" t="s">
        <v>664</v>
      </c>
      <c r="AA25" s="416" t="s">
        <v>665</v>
      </c>
      <c r="AB25" s="416" t="s">
        <v>666</v>
      </c>
      <c r="AC25" s="416" t="s">
        <v>666</v>
      </c>
      <c r="AD25" s="381"/>
      <c r="AE25" s="40"/>
      <c r="AF25" s="40"/>
      <c r="AG25" s="53"/>
      <c r="AH25" s="54"/>
      <c r="AI25" s="40"/>
      <c r="AJ25" s="40"/>
      <c r="AK25" s="40"/>
      <c r="AL25" s="40"/>
      <c r="AM25" s="40"/>
    </row>
    <row r="26" spans="1:39" s="42" customFormat="1">
      <c r="A26" s="415">
        <v>1</v>
      </c>
      <c r="B26" s="415" t="s">
        <v>303</v>
      </c>
      <c r="C26" s="415">
        <v>10</v>
      </c>
      <c r="D26" s="415" t="s">
        <v>304</v>
      </c>
      <c r="E26" s="415">
        <v>86</v>
      </c>
      <c r="F26" s="415" t="s">
        <v>334</v>
      </c>
      <c r="G26" s="415">
        <v>15</v>
      </c>
      <c r="H26" s="415" t="s">
        <v>335</v>
      </c>
      <c r="I26" s="415" t="s">
        <v>336</v>
      </c>
      <c r="J26" s="415" t="s">
        <v>337</v>
      </c>
      <c r="K26" s="415">
        <v>17033106</v>
      </c>
      <c r="L26" s="41" t="e">
        <f>VLOOKUP(K26,WebPosting!$B$6:$B$561,1,FALSE)</f>
        <v>#N/A</v>
      </c>
      <c r="M26" s="46">
        <f>(($V26*1000)*(IFERROR($T26-WebPosting!$K$1,"0")))</f>
        <v>0</v>
      </c>
      <c r="N26" s="43">
        <f t="shared" si="0"/>
        <v>14.4</v>
      </c>
      <c r="O26" s="416" t="s">
        <v>660</v>
      </c>
      <c r="P26" s="416" t="s">
        <v>671</v>
      </c>
      <c r="Q26" s="416" t="s">
        <v>390</v>
      </c>
      <c r="R26" s="417">
        <v>42824</v>
      </c>
      <c r="S26" s="417">
        <v>42825</v>
      </c>
      <c r="T26" s="417">
        <v>42825</v>
      </c>
      <c r="U26" s="416">
        <v>0.08</v>
      </c>
      <c r="V26" s="416">
        <v>18</v>
      </c>
      <c r="W26" s="419">
        <v>18060.060000000001</v>
      </c>
      <c r="X26" s="416">
        <v>0.04</v>
      </c>
      <c r="Y26" s="416" t="s">
        <v>663</v>
      </c>
      <c r="Z26" s="416" t="s">
        <v>664</v>
      </c>
      <c r="AA26" s="416" t="s">
        <v>665</v>
      </c>
      <c r="AB26" s="416" t="s">
        <v>666</v>
      </c>
      <c r="AC26" s="416" t="s">
        <v>666</v>
      </c>
      <c r="AD26" s="40"/>
      <c r="AE26" s="40"/>
      <c r="AF26" s="40"/>
      <c r="AG26" s="53"/>
      <c r="AH26" s="54"/>
      <c r="AI26" s="40"/>
      <c r="AJ26" s="40"/>
      <c r="AK26" s="40"/>
      <c r="AL26" s="40"/>
      <c r="AM26" s="40"/>
    </row>
    <row r="27" spans="1:39" s="42" customFormat="1">
      <c r="A27" s="415">
        <v>1</v>
      </c>
      <c r="B27" s="415" t="s">
        <v>303</v>
      </c>
      <c r="C27" s="415">
        <v>10</v>
      </c>
      <c r="D27" s="415" t="s">
        <v>304</v>
      </c>
      <c r="E27" s="415">
        <v>10</v>
      </c>
      <c r="F27" s="415" t="s">
        <v>305</v>
      </c>
      <c r="G27" s="415">
        <v>15</v>
      </c>
      <c r="H27" s="415" t="s">
        <v>306</v>
      </c>
      <c r="I27" s="415" t="s">
        <v>307</v>
      </c>
      <c r="J27" s="415" t="s">
        <v>308</v>
      </c>
      <c r="K27" s="415">
        <v>17033115</v>
      </c>
      <c r="L27" s="41">
        <f>VLOOKUP(K27,WebPosting!$B$6:$B$561,1,FALSE)</f>
        <v>17033115</v>
      </c>
      <c r="M27" s="46">
        <f>(($V27*1000)*(IFERROR($T27-WebPosting!$K$1,"0")))</f>
        <v>2700000000</v>
      </c>
      <c r="N27" s="43">
        <f t="shared" si="0"/>
        <v>6750000</v>
      </c>
      <c r="O27" s="416" t="s">
        <v>672</v>
      </c>
      <c r="P27" s="416" t="s">
        <v>661</v>
      </c>
      <c r="Q27" s="416" t="s">
        <v>662</v>
      </c>
      <c r="R27" s="417">
        <v>42825</v>
      </c>
      <c r="S27" s="417">
        <v>42828</v>
      </c>
      <c r="T27" s="417">
        <v>42828</v>
      </c>
      <c r="U27" s="416">
        <v>0.75</v>
      </c>
      <c r="V27" s="418">
        <v>900000</v>
      </c>
      <c r="W27" s="419">
        <v>900000000</v>
      </c>
      <c r="X27" s="416" t="s">
        <v>666</v>
      </c>
      <c r="Y27" s="416" t="s">
        <v>663</v>
      </c>
      <c r="Z27" s="416" t="s">
        <v>664</v>
      </c>
      <c r="AA27" s="416" t="s">
        <v>665</v>
      </c>
      <c r="AB27" s="416" t="s">
        <v>666</v>
      </c>
      <c r="AC27" s="416" t="s">
        <v>666</v>
      </c>
      <c r="AD27" s="40"/>
      <c r="AE27" s="40"/>
      <c r="AF27" s="40"/>
      <c r="AG27" s="53"/>
      <c r="AH27" s="54"/>
      <c r="AI27" s="40"/>
      <c r="AJ27" s="40"/>
      <c r="AK27" s="40"/>
      <c r="AL27" s="40"/>
      <c r="AM27" s="40"/>
    </row>
    <row r="28" spans="1:39" s="42" customFormat="1">
      <c r="A28" s="415">
        <v>1</v>
      </c>
      <c r="B28" s="415" t="s">
        <v>303</v>
      </c>
      <c r="C28" s="415">
        <v>10</v>
      </c>
      <c r="D28" s="415" t="s">
        <v>304</v>
      </c>
      <c r="E28" s="415">
        <v>10</v>
      </c>
      <c r="F28" s="415" t="s">
        <v>305</v>
      </c>
      <c r="G28" s="415">
        <v>15</v>
      </c>
      <c r="H28" s="415" t="s">
        <v>306</v>
      </c>
      <c r="I28" s="415" t="s">
        <v>307</v>
      </c>
      <c r="J28" s="415" t="s">
        <v>308</v>
      </c>
      <c r="K28" s="415">
        <v>17033121</v>
      </c>
      <c r="L28" s="41">
        <f>VLOOKUP(K28,WebPosting!$B$6:$B$561,1,FALSE)</f>
        <v>17033121</v>
      </c>
      <c r="M28" s="46">
        <f>(($V28*1000)*(IFERROR($T28-WebPosting!$K$1,"0")))</f>
        <v>900000000</v>
      </c>
      <c r="N28" s="43">
        <f t="shared" si="0"/>
        <v>2310000</v>
      </c>
      <c r="O28" s="416" t="s">
        <v>672</v>
      </c>
      <c r="P28" s="416" t="s">
        <v>667</v>
      </c>
      <c r="Q28" s="416" t="s">
        <v>668</v>
      </c>
      <c r="R28" s="417">
        <v>42825</v>
      </c>
      <c r="S28" s="417">
        <v>42828</v>
      </c>
      <c r="T28" s="417">
        <v>42828</v>
      </c>
      <c r="U28" s="416">
        <v>0.77</v>
      </c>
      <c r="V28" s="418">
        <v>300000</v>
      </c>
      <c r="W28" s="419">
        <v>300000000</v>
      </c>
      <c r="X28" s="416" t="s">
        <v>666</v>
      </c>
      <c r="Y28" s="416" t="s">
        <v>663</v>
      </c>
      <c r="Z28" s="416" t="s">
        <v>664</v>
      </c>
      <c r="AA28" s="416" t="s">
        <v>665</v>
      </c>
      <c r="AB28" s="416" t="s">
        <v>666</v>
      </c>
      <c r="AC28" s="416" t="s">
        <v>666</v>
      </c>
      <c r="AG28" s="55"/>
      <c r="AH28" s="56"/>
    </row>
    <row r="29" spans="1:39" s="42" customFormat="1">
      <c r="A29" s="415">
        <v>1</v>
      </c>
      <c r="B29" s="415" t="s">
        <v>303</v>
      </c>
      <c r="C29" s="415">
        <v>10</v>
      </c>
      <c r="D29" s="415" t="s">
        <v>304</v>
      </c>
      <c r="E29" s="415">
        <v>10</v>
      </c>
      <c r="F29" s="415" t="s">
        <v>305</v>
      </c>
      <c r="G29" s="415">
        <v>15</v>
      </c>
      <c r="H29" s="415" t="s">
        <v>306</v>
      </c>
      <c r="I29" s="415" t="s">
        <v>307</v>
      </c>
      <c r="J29" s="415" t="s">
        <v>308</v>
      </c>
      <c r="K29" s="415">
        <v>17033129</v>
      </c>
      <c r="L29" s="41">
        <f>VLOOKUP(K29,WebPosting!$B$6:$B$561,1,FALSE)</f>
        <v>17033129</v>
      </c>
      <c r="M29" s="46">
        <f>(($V29*1000)*(IFERROR($T29-WebPosting!$K$1,"0")))</f>
        <v>870675000</v>
      </c>
      <c r="N29" s="43">
        <f t="shared" si="0"/>
        <v>2031574.9999999998</v>
      </c>
      <c r="O29" s="416" t="s">
        <v>672</v>
      </c>
      <c r="P29" s="416" t="s">
        <v>669</v>
      </c>
      <c r="Q29" s="416" t="s">
        <v>670</v>
      </c>
      <c r="R29" s="417">
        <v>42825</v>
      </c>
      <c r="S29" s="417">
        <v>42828</v>
      </c>
      <c r="T29" s="417">
        <v>42828</v>
      </c>
      <c r="U29" s="416">
        <v>0.7</v>
      </c>
      <c r="V29" s="418">
        <v>290225</v>
      </c>
      <c r="W29" s="419">
        <v>290225000</v>
      </c>
      <c r="X29" s="416" t="s">
        <v>666</v>
      </c>
      <c r="Y29" s="416" t="s">
        <v>663</v>
      </c>
      <c r="Z29" s="416" t="s">
        <v>664</v>
      </c>
      <c r="AA29" s="416" t="s">
        <v>665</v>
      </c>
      <c r="AB29" s="416" t="s">
        <v>666</v>
      </c>
      <c r="AC29" s="416" t="s">
        <v>666</v>
      </c>
      <c r="AG29" s="55"/>
      <c r="AH29" s="56"/>
    </row>
    <row r="30" spans="1:39">
      <c r="A30" s="415">
        <v>1</v>
      </c>
      <c r="B30" s="415" t="s">
        <v>303</v>
      </c>
      <c r="C30" s="415">
        <v>10</v>
      </c>
      <c r="D30" s="415" t="s">
        <v>304</v>
      </c>
      <c r="E30" s="415">
        <v>40</v>
      </c>
      <c r="F30" s="415" t="s">
        <v>309</v>
      </c>
      <c r="G30" s="415">
        <v>15</v>
      </c>
      <c r="H30" s="415" t="s">
        <v>310</v>
      </c>
      <c r="I30" s="415" t="s">
        <v>311</v>
      </c>
      <c r="J30" s="415" t="s">
        <v>312</v>
      </c>
      <c r="K30" s="415">
        <v>17033124</v>
      </c>
      <c r="L30" s="41">
        <f>VLOOKUP(K30,WebPosting!$B$6:$B$561,1,FALSE)</f>
        <v>17033124</v>
      </c>
      <c r="M30" s="46">
        <f>(($V30*1000)*(IFERROR($T30-WebPosting!$K$1,"0")))</f>
        <v>337125000</v>
      </c>
      <c r="N30" s="43">
        <f t="shared" si="0"/>
        <v>786624.99999999988</v>
      </c>
      <c r="O30" s="416" t="s">
        <v>672</v>
      </c>
      <c r="P30" s="416" t="s">
        <v>669</v>
      </c>
      <c r="Q30" s="416" t="s">
        <v>670</v>
      </c>
      <c r="R30" s="417">
        <v>42825</v>
      </c>
      <c r="S30" s="417">
        <v>42828</v>
      </c>
      <c r="T30" s="417">
        <v>42828</v>
      </c>
      <c r="U30" s="416">
        <v>0.7</v>
      </c>
      <c r="V30" s="418">
        <v>112375</v>
      </c>
      <c r="W30" s="419">
        <v>112375000</v>
      </c>
      <c r="X30" s="416" t="s">
        <v>666</v>
      </c>
      <c r="Y30" s="416" t="s">
        <v>663</v>
      </c>
      <c r="Z30" s="416" t="s">
        <v>664</v>
      </c>
      <c r="AA30" s="416" t="s">
        <v>665</v>
      </c>
      <c r="AB30" s="416" t="s">
        <v>666</v>
      </c>
      <c r="AC30" s="416" t="s">
        <v>666</v>
      </c>
      <c r="AG30" s="53"/>
      <c r="AH30" s="54"/>
    </row>
    <row r="31" spans="1:39">
      <c r="A31" s="415">
        <v>1</v>
      </c>
      <c r="B31" s="415" t="s">
        <v>303</v>
      </c>
      <c r="C31" s="415">
        <v>10</v>
      </c>
      <c r="D31" s="415" t="s">
        <v>304</v>
      </c>
      <c r="E31" s="415">
        <v>43</v>
      </c>
      <c r="F31" s="415" t="s">
        <v>1059</v>
      </c>
      <c r="G31" s="415">
        <v>15</v>
      </c>
      <c r="H31" s="415" t="s">
        <v>331</v>
      </c>
      <c r="I31" s="415" t="s">
        <v>1060</v>
      </c>
      <c r="J31" s="415" t="s">
        <v>1061</v>
      </c>
      <c r="K31" s="415">
        <v>17033118</v>
      </c>
      <c r="L31" s="41">
        <f>VLOOKUP(K31,WebPosting!$B$6:$B$561,1,FALSE)</f>
        <v>17033118</v>
      </c>
      <c r="M31" s="46">
        <f>(($V31*1000)*(IFERROR($T31-WebPosting!$K$1,"0")))</f>
        <v>2160000</v>
      </c>
      <c r="N31" s="43">
        <f t="shared" si="0"/>
        <v>5616</v>
      </c>
      <c r="O31" s="416" t="s">
        <v>672</v>
      </c>
      <c r="P31" s="416" t="s">
        <v>673</v>
      </c>
      <c r="Q31" s="416" t="s">
        <v>674</v>
      </c>
      <c r="R31" s="417">
        <v>42825</v>
      </c>
      <c r="S31" s="417">
        <v>42828</v>
      </c>
      <c r="T31" s="417">
        <v>42828</v>
      </c>
      <c r="U31" s="416">
        <v>0.78</v>
      </c>
      <c r="V31" s="416">
        <v>720</v>
      </c>
      <c r="W31" s="419">
        <v>720000</v>
      </c>
      <c r="X31" s="416" t="s">
        <v>666</v>
      </c>
      <c r="Y31" s="416" t="s">
        <v>663</v>
      </c>
      <c r="Z31" s="416" t="s">
        <v>664</v>
      </c>
      <c r="AA31" s="416" t="s">
        <v>665</v>
      </c>
      <c r="AB31" s="416" t="s">
        <v>666</v>
      </c>
      <c r="AC31" s="416" t="s">
        <v>666</v>
      </c>
      <c r="AG31" s="53"/>
      <c r="AH31" s="54"/>
    </row>
    <row r="32" spans="1:39">
      <c r="A32" s="415">
        <v>1</v>
      </c>
      <c r="B32" s="415" t="s">
        <v>303</v>
      </c>
      <c r="C32" s="415">
        <v>10</v>
      </c>
      <c r="D32" s="415" t="s">
        <v>304</v>
      </c>
      <c r="E32" s="415">
        <v>45</v>
      </c>
      <c r="F32" s="415" t="s">
        <v>316</v>
      </c>
      <c r="G32" s="415">
        <v>15</v>
      </c>
      <c r="H32" s="415" t="s">
        <v>317</v>
      </c>
      <c r="I32" s="415" t="s">
        <v>318</v>
      </c>
      <c r="J32" s="415" t="s">
        <v>319</v>
      </c>
      <c r="K32" s="415">
        <v>17033126</v>
      </c>
      <c r="L32" s="41">
        <f>VLOOKUP(K32,WebPosting!$B$6:$B$561,1,FALSE)</f>
        <v>17033126</v>
      </c>
      <c r="M32" s="46">
        <f>(($V32*1000)*(IFERROR($T32-WebPosting!$K$1,"0")))</f>
        <v>17700000</v>
      </c>
      <c r="N32" s="43">
        <f t="shared" si="0"/>
        <v>41299.999999999993</v>
      </c>
      <c r="O32" s="416" t="s">
        <v>672</v>
      </c>
      <c r="P32" s="416" t="s">
        <v>669</v>
      </c>
      <c r="Q32" s="416" t="s">
        <v>670</v>
      </c>
      <c r="R32" s="417">
        <v>42825</v>
      </c>
      <c r="S32" s="417">
        <v>42828</v>
      </c>
      <c r="T32" s="417">
        <v>42828</v>
      </c>
      <c r="U32" s="416">
        <v>0.7</v>
      </c>
      <c r="V32" s="418">
        <v>5900</v>
      </c>
      <c r="W32" s="419">
        <v>5900000</v>
      </c>
      <c r="X32" s="416" t="s">
        <v>666</v>
      </c>
      <c r="Y32" s="416" t="s">
        <v>663</v>
      </c>
      <c r="Z32" s="416" t="s">
        <v>664</v>
      </c>
      <c r="AA32" s="416" t="s">
        <v>665</v>
      </c>
      <c r="AB32" s="416" t="s">
        <v>666</v>
      </c>
      <c r="AC32" s="416" t="s">
        <v>666</v>
      </c>
      <c r="AG32" s="53"/>
      <c r="AH32" s="54"/>
    </row>
    <row r="33" spans="1:39">
      <c r="A33" s="415">
        <v>1</v>
      </c>
      <c r="B33" s="415" t="s">
        <v>303</v>
      </c>
      <c r="C33" s="415">
        <v>10</v>
      </c>
      <c r="D33" s="415" t="s">
        <v>304</v>
      </c>
      <c r="E33" s="415">
        <v>60</v>
      </c>
      <c r="F33" s="415" t="s">
        <v>326</v>
      </c>
      <c r="G33" s="415">
        <v>15</v>
      </c>
      <c r="H33" s="415" t="s">
        <v>327</v>
      </c>
      <c r="I33" s="415" t="s">
        <v>328</v>
      </c>
      <c r="J33" s="415" t="s">
        <v>329</v>
      </c>
      <c r="K33" s="415">
        <v>17033116</v>
      </c>
      <c r="L33" s="41">
        <f>VLOOKUP(K33,WebPosting!$B$6:$B$561,1,FALSE)</f>
        <v>17033116</v>
      </c>
      <c r="M33" s="46">
        <f>(($V33*1000)*(IFERROR($T33-WebPosting!$K$1,"0")))</f>
        <v>439185000</v>
      </c>
      <c r="N33" s="43">
        <f t="shared" si="0"/>
        <v>1141881</v>
      </c>
      <c r="O33" s="416" t="s">
        <v>672</v>
      </c>
      <c r="P33" s="416" t="s">
        <v>673</v>
      </c>
      <c r="Q33" s="416" t="s">
        <v>674</v>
      </c>
      <c r="R33" s="417">
        <v>42825</v>
      </c>
      <c r="S33" s="417">
        <v>42828</v>
      </c>
      <c r="T33" s="417">
        <v>42828</v>
      </c>
      <c r="U33" s="416">
        <v>0.78</v>
      </c>
      <c r="V33" s="418">
        <v>146395</v>
      </c>
      <c r="W33" s="419">
        <v>146395000</v>
      </c>
      <c r="X33" s="416" t="s">
        <v>666</v>
      </c>
      <c r="Y33" s="416" t="s">
        <v>663</v>
      </c>
      <c r="Z33" s="416" t="s">
        <v>664</v>
      </c>
      <c r="AA33" s="416" t="s">
        <v>665</v>
      </c>
      <c r="AB33" s="416" t="s">
        <v>666</v>
      </c>
      <c r="AC33" s="416" t="s">
        <v>666</v>
      </c>
      <c r="AG33" s="53"/>
      <c r="AH33" s="54"/>
      <c r="AL33" s="54"/>
      <c r="AM33" s="54"/>
    </row>
    <row r="34" spans="1:39">
      <c r="A34" s="415">
        <v>1</v>
      </c>
      <c r="B34" s="415" t="s">
        <v>303</v>
      </c>
      <c r="C34" s="415">
        <v>10</v>
      </c>
      <c r="D34" s="415" t="s">
        <v>304</v>
      </c>
      <c r="E34" s="415">
        <v>61</v>
      </c>
      <c r="F34" s="415" t="s">
        <v>330</v>
      </c>
      <c r="G34" s="415">
        <v>15</v>
      </c>
      <c r="H34" s="415" t="s">
        <v>331</v>
      </c>
      <c r="I34" s="415" t="s">
        <v>332</v>
      </c>
      <c r="J34" s="415" t="s">
        <v>333</v>
      </c>
      <c r="K34" s="415">
        <v>17033117</v>
      </c>
      <c r="L34" s="41">
        <f>VLOOKUP(K34,WebPosting!$B$6:$B$561,1,FALSE)</f>
        <v>17033117</v>
      </c>
      <c r="M34" s="46">
        <f>(($V34*1000)*(IFERROR($T34-WebPosting!$K$1,"0")))</f>
        <v>160185000</v>
      </c>
      <c r="N34" s="43">
        <f t="shared" si="0"/>
        <v>416481</v>
      </c>
      <c r="O34" s="416" t="s">
        <v>672</v>
      </c>
      <c r="P34" s="416" t="s">
        <v>673</v>
      </c>
      <c r="Q34" s="416" t="s">
        <v>674</v>
      </c>
      <c r="R34" s="417">
        <v>42825</v>
      </c>
      <c r="S34" s="417">
        <v>42828</v>
      </c>
      <c r="T34" s="417">
        <v>42828</v>
      </c>
      <c r="U34" s="416">
        <v>0.78</v>
      </c>
      <c r="V34" s="418">
        <v>53395</v>
      </c>
      <c r="W34" s="419">
        <v>53395000</v>
      </c>
      <c r="X34" s="416" t="s">
        <v>666</v>
      </c>
      <c r="Y34" s="416" t="s">
        <v>663</v>
      </c>
      <c r="Z34" s="416" t="s">
        <v>664</v>
      </c>
      <c r="AA34" s="416" t="s">
        <v>665</v>
      </c>
      <c r="AB34" s="416" t="s">
        <v>666</v>
      </c>
      <c r="AC34" s="416" t="s">
        <v>666</v>
      </c>
      <c r="AG34" s="53"/>
      <c r="AH34" s="54"/>
      <c r="AL34" s="54"/>
      <c r="AM34" s="54"/>
    </row>
    <row r="35" spans="1:39">
      <c r="A35" s="415">
        <v>1</v>
      </c>
      <c r="B35" s="415" t="s">
        <v>303</v>
      </c>
      <c r="C35" s="415">
        <v>10</v>
      </c>
      <c r="D35" s="415" t="s">
        <v>304</v>
      </c>
      <c r="E35" s="415">
        <v>86</v>
      </c>
      <c r="F35" s="415" t="s">
        <v>334</v>
      </c>
      <c r="G35" s="415">
        <v>15</v>
      </c>
      <c r="H35" s="415" t="s">
        <v>335</v>
      </c>
      <c r="I35" s="415" t="s">
        <v>336</v>
      </c>
      <c r="J35" s="415" t="s">
        <v>337</v>
      </c>
      <c r="K35" s="415">
        <v>17033128</v>
      </c>
      <c r="L35" s="41">
        <f>VLOOKUP(K35,WebPosting!$B$6:$B$561,1,FALSE)</f>
        <v>17033128</v>
      </c>
      <c r="M35" s="46">
        <f>(($V35*1000)*(IFERROR($T35-WebPosting!$K$1,"0")))</f>
        <v>7500000</v>
      </c>
      <c r="N35" s="43">
        <f t="shared" si="0"/>
        <v>17500</v>
      </c>
      <c r="O35" s="416" t="s">
        <v>672</v>
      </c>
      <c r="P35" s="416" t="s">
        <v>669</v>
      </c>
      <c r="Q35" s="416" t="s">
        <v>670</v>
      </c>
      <c r="R35" s="417">
        <v>42825</v>
      </c>
      <c r="S35" s="417">
        <v>42828</v>
      </c>
      <c r="T35" s="417">
        <v>42828</v>
      </c>
      <c r="U35" s="416">
        <v>0.7</v>
      </c>
      <c r="V35" s="418">
        <v>2500</v>
      </c>
      <c r="W35" s="419">
        <v>2500000</v>
      </c>
      <c r="X35" s="416" t="s">
        <v>666</v>
      </c>
      <c r="Y35" s="416" t="s">
        <v>663</v>
      </c>
      <c r="Z35" s="416" t="s">
        <v>664</v>
      </c>
      <c r="AA35" s="416" t="s">
        <v>665</v>
      </c>
      <c r="AB35" s="416" t="s">
        <v>666</v>
      </c>
      <c r="AC35" s="416" t="s">
        <v>666</v>
      </c>
      <c r="AG35" s="53"/>
      <c r="AH35" s="54"/>
      <c r="AL35" s="54"/>
      <c r="AM35" s="54"/>
    </row>
    <row r="36" spans="1:39">
      <c r="A36" s="415">
        <v>4</v>
      </c>
      <c r="B36" s="415" t="s">
        <v>338</v>
      </c>
      <c r="C36" s="415">
        <v>30</v>
      </c>
      <c r="D36" s="415" t="s">
        <v>339</v>
      </c>
      <c r="E36" s="415">
        <v>10</v>
      </c>
      <c r="F36" s="415" t="s">
        <v>340</v>
      </c>
      <c r="G36" s="415">
        <v>15</v>
      </c>
      <c r="H36" s="415" t="s">
        <v>341</v>
      </c>
      <c r="I36" s="415" t="s">
        <v>342</v>
      </c>
      <c r="J36" s="415" t="s">
        <v>337</v>
      </c>
      <c r="K36" s="415">
        <v>16052711</v>
      </c>
      <c r="L36" s="41">
        <f>VLOOKUP(K36,WebPosting!$B$6:$B$561,1,FALSE)</f>
        <v>16052711</v>
      </c>
      <c r="M36" s="46">
        <f>(($V36*1000)*(IFERROR($T36-WebPosting!$K$1,"0")))</f>
        <v>2860000000</v>
      </c>
      <c r="N36" s="43">
        <f t="shared" si="0"/>
        <v>106000</v>
      </c>
      <c r="O36" s="416" t="s">
        <v>672</v>
      </c>
      <c r="P36" s="416" t="s">
        <v>675</v>
      </c>
      <c r="Q36" s="416" t="s">
        <v>676</v>
      </c>
      <c r="R36" s="417">
        <v>42517</v>
      </c>
      <c r="S36" s="417">
        <v>43111</v>
      </c>
      <c r="T36" s="417">
        <v>43111</v>
      </c>
      <c r="U36" s="416">
        <v>1.06</v>
      </c>
      <c r="V36" s="418">
        <v>10000</v>
      </c>
      <c r="W36" s="419">
        <v>10000000</v>
      </c>
      <c r="X36" s="416" t="s">
        <v>666</v>
      </c>
      <c r="Y36" s="416" t="s">
        <v>677</v>
      </c>
      <c r="Z36" s="416" t="s">
        <v>678</v>
      </c>
      <c r="AA36" s="419">
        <v>20880.28</v>
      </c>
      <c r="AB36" s="419">
        <v>9977200</v>
      </c>
      <c r="AC36" s="416" t="s">
        <v>666</v>
      </c>
      <c r="AG36" s="53"/>
      <c r="AH36" s="54"/>
      <c r="AL36" s="54"/>
      <c r="AM36" s="54"/>
    </row>
    <row r="37" spans="1:39">
      <c r="A37" s="415">
        <v>4</v>
      </c>
      <c r="B37" s="415" t="s">
        <v>338</v>
      </c>
      <c r="C37" s="415">
        <v>30</v>
      </c>
      <c r="D37" s="415" t="s">
        <v>339</v>
      </c>
      <c r="E37" s="415">
        <v>10</v>
      </c>
      <c r="F37" s="415" t="s">
        <v>340</v>
      </c>
      <c r="G37" s="415">
        <v>15</v>
      </c>
      <c r="H37" s="415" t="s">
        <v>341</v>
      </c>
      <c r="I37" s="415" t="s">
        <v>342</v>
      </c>
      <c r="J37" s="415" t="s">
        <v>337</v>
      </c>
      <c r="K37" s="415">
        <v>16061324</v>
      </c>
      <c r="L37" s="41">
        <f>VLOOKUP(K37,WebPosting!$B$6:$B$561,1,FALSE)</f>
        <v>16061324</v>
      </c>
      <c r="M37" s="46">
        <f>(($V37*1000)*(IFERROR($T37-WebPosting!$K$1,"0")))</f>
        <v>3490000000</v>
      </c>
      <c r="N37" s="43">
        <f t="shared" si="0"/>
        <v>87500.000000000015</v>
      </c>
      <c r="O37" s="416" t="s">
        <v>672</v>
      </c>
      <c r="P37" s="416" t="s">
        <v>679</v>
      </c>
      <c r="Q37" s="416" t="s">
        <v>680</v>
      </c>
      <c r="R37" s="417">
        <v>42534</v>
      </c>
      <c r="S37" s="417">
        <v>43174</v>
      </c>
      <c r="T37" s="417">
        <v>43174</v>
      </c>
      <c r="U37" s="416">
        <v>0.875</v>
      </c>
      <c r="V37" s="418">
        <v>10000</v>
      </c>
      <c r="W37" s="419">
        <v>10000000</v>
      </c>
      <c r="X37" s="416" t="s">
        <v>666</v>
      </c>
      <c r="Y37" s="416" t="s">
        <v>677</v>
      </c>
      <c r="Z37" s="416" t="s">
        <v>681</v>
      </c>
      <c r="AA37" s="419">
        <v>3669.56</v>
      </c>
      <c r="AB37" s="419">
        <v>9964700</v>
      </c>
      <c r="AC37" s="416" t="s">
        <v>666</v>
      </c>
      <c r="AG37" s="53"/>
      <c r="AH37" s="54"/>
      <c r="AL37" s="54"/>
      <c r="AM37" s="54"/>
    </row>
    <row r="38" spans="1:39">
      <c r="A38" s="415">
        <v>4</v>
      </c>
      <c r="B38" s="415" t="s">
        <v>338</v>
      </c>
      <c r="C38" s="415">
        <v>30</v>
      </c>
      <c r="D38" s="415" t="s">
        <v>339</v>
      </c>
      <c r="E38" s="415">
        <v>10</v>
      </c>
      <c r="F38" s="415" t="s">
        <v>340</v>
      </c>
      <c r="G38" s="415">
        <v>15</v>
      </c>
      <c r="H38" s="415" t="s">
        <v>341</v>
      </c>
      <c r="I38" s="415" t="s">
        <v>342</v>
      </c>
      <c r="J38" s="415" t="s">
        <v>337</v>
      </c>
      <c r="K38" s="415">
        <v>15043001</v>
      </c>
      <c r="L38" s="41">
        <f>VLOOKUP(K38,WebPosting!$B$6:$B$561,1,FALSE)</f>
        <v>15043001</v>
      </c>
      <c r="M38" s="46">
        <f>(($V38*1000)*(IFERROR($T38-WebPosting!$K$1,"0")))</f>
        <v>4410000000</v>
      </c>
      <c r="N38" s="43">
        <f t="shared" si="0"/>
        <v>100000</v>
      </c>
      <c r="O38" s="416" t="s">
        <v>672</v>
      </c>
      <c r="P38" s="416" t="s">
        <v>679</v>
      </c>
      <c r="Q38" s="416" t="s">
        <v>680</v>
      </c>
      <c r="R38" s="417">
        <v>42124</v>
      </c>
      <c r="S38" s="417">
        <v>43266</v>
      </c>
      <c r="T38" s="417">
        <v>43266</v>
      </c>
      <c r="U38" s="416">
        <v>1</v>
      </c>
      <c r="V38" s="418">
        <v>10000</v>
      </c>
      <c r="W38" s="419">
        <v>10000000</v>
      </c>
      <c r="X38" s="416" t="s">
        <v>666</v>
      </c>
      <c r="Y38" s="416" t="s">
        <v>677</v>
      </c>
      <c r="Z38" s="416" t="s">
        <v>682</v>
      </c>
      <c r="AA38" s="419">
        <v>30762.66</v>
      </c>
      <c r="AB38" s="419">
        <v>9964400</v>
      </c>
      <c r="AC38" s="416" t="s">
        <v>666</v>
      </c>
      <c r="AG38" s="53"/>
      <c r="AH38" s="54"/>
      <c r="AL38" s="54"/>
      <c r="AM38" s="54"/>
    </row>
    <row r="39" spans="1:39">
      <c r="A39" s="415">
        <v>4</v>
      </c>
      <c r="B39" s="415" t="s">
        <v>338</v>
      </c>
      <c r="C39" s="415">
        <v>30</v>
      </c>
      <c r="D39" s="415" t="s">
        <v>339</v>
      </c>
      <c r="E39" s="415">
        <v>10</v>
      </c>
      <c r="F39" s="415" t="s">
        <v>340</v>
      </c>
      <c r="G39" s="415">
        <v>15</v>
      </c>
      <c r="H39" s="415" t="s">
        <v>341</v>
      </c>
      <c r="I39" s="415" t="s">
        <v>342</v>
      </c>
      <c r="J39" s="415" t="s">
        <v>337</v>
      </c>
      <c r="K39" s="415">
        <v>15051105</v>
      </c>
      <c r="L39" s="41">
        <f>VLOOKUP(K39,WebPosting!$B$6:$B$561,1,FALSE)</f>
        <v>15051105</v>
      </c>
      <c r="M39" s="46">
        <f>(($V39*1000)*(IFERROR($T39-WebPosting!$K$1,"0")))</f>
        <v>4410000000</v>
      </c>
      <c r="N39" s="43">
        <f t="shared" si="0"/>
        <v>100000</v>
      </c>
      <c r="O39" s="416" t="s">
        <v>672</v>
      </c>
      <c r="P39" s="416" t="s">
        <v>683</v>
      </c>
      <c r="Q39" s="416" t="s">
        <v>684</v>
      </c>
      <c r="R39" s="417">
        <v>42135</v>
      </c>
      <c r="S39" s="417">
        <v>43266</v>
      </c>
      <c r="T39" s="417">
        <v>43266</v>
      </c>
      <c r="U39" s="416">
        <v>1</v>
      </c>
      <c r="V39" s="418">
        <v>10000</v>
      </c>
      <c r="W39" s="419">
        <v>10000000</v>
      </c>
      <c r="X39" s="416" t="s">
        <v>666</v>
      </c>
      <c r="Y39" s="416" t="s">
        <v>677</v>
      </c>
      <c r="Z39" s="416" t="s">
        <v>682</v>
      </c>
      <c r="AA39" s="419">
        <v>32484.42</v>
      </c>
      <c r="AB39" s="419">
        <v>9964400</v>
      </c>
      <c r="AC39" s="416" t="s">
        <v>666</v>
      </c>
      <c r="AG39" s="53"/>
      <c r="AH39" s="54"/>
      <c r="AL39" s="54"/>
      <c r="AM39" s="54"/>
    </row>
    <row r="40" spans="1:39">
      <c r="A40" s="415">
        <v>4</v>
      </c>
      <c r="B40" s="415" t="s">
        <v>338</v>
      </c>
      <c r="C40" s="415">
        <v>30</v>
      </c>
      <c r="D40" s="415" t="s">
        <v>339</v>
      </c>
      <c r="E40" s="415">
        <v>10</v>
      </c>
      <c r="F40" s="415" t="s">
        <v>340</v>
      </c>
      <c r="G40" s="415">
        <v>15</v>
      </c>
      <c r="H40" s="415" t="s">
        <v>341</v>
      </c>
      <c r="I40" s="415" t="s">
        <v>342</v>
      </c>
      <c r="J40" s="415" t="s">
        <v>337</v>
      </c>
      <c r="K40" s="415">
        <v>16042221</v>
      </c>
      <c r="L40" s="41">
        <f>VLOOKUP(K40,WebPosting!$B$6:$B$561,1,FALSE)</f>
        <v>16042221</v>
      </c>
      <c r="M40" s="46">
        <f>(($V40*1000)*(IFERROR($T40-WebPosting!$K$1,"0")))</f>
        <v>4750000000</v>
      </c>
      <c r="N40" s="43">
        <f t="shared" si="0"/>
        <v>87500.000000000015</v>
      </c>
      <c r="O40" s="416" t="s">
        <v>672</v>
      </c>
      <c r="P40" s="416" t="s">
        <v>685</v>
      </c>
      <c r="Q40" s="416" t="s">
        <v>686</v>
      </c>
      <c r="R40" s="417">
        <v>42479</v>
      </c>
      <c r="S40" s="417">
        <v>43300</v>
      </c>
      <c r="T40" s="417">
        <v>43300</v>
      </c>
      <c r="U40" s="416">
        <v>0.875</v>
      </c>
      <c r="V40" s="418">
        <v>10000</v>
      </c>
      <c r="W40" s="419">
        <v>10000000</v>
      </c>
      <c r="X40" s="416" t="s">
        <v>666</v>
      </c>
      <c r="Y40" s="416" t="s">
        <v>677</v>
      </c>
      <c r="Z40" s="416" t="s">
        <v>687</v>
      </c>
      <c r="AA40" s="419">
        <v>18808.439999999999</v>
      </c>
      <c r="AB40" s="419">
        <v>9943800</v>
      </c>
      <c r="AC40" s="416" t="s">
        <v>666</v>
      </c>
      <c r="AG40" s="53"/>
      <c r="AH40" s="54"/>
    </row>
    <row r="41" spans="1:39">
      <c r="A41" s="415">
        <v>4</v>
      </c>
      <c r="B41" s="415" t="s">
        <v>338</v>
      </c>
      <c r="C41" s="415">
        <v>30</v>
      </c>
      <c r="D41" s="415" t="s">
        <v>339</v>
      </c>
      <c r="E41" s="415">
        <v>10</v>
      </c>
      <c r="F41" s="415" t="s">
        <v>340</v>
      </c>
      <c r="G41" s="415">
        <v>15</v>
      </c>
      <c r="H41" s="415" t="s">
        <v>341</v>
      </c>
      <c r="I41" s="415" t="s">
        <v>342</v>
      </c>
      <c r="J41" s="415" t="s">
        <v>337</v>
      </c>
      <c r="K41" s="415">
        <v>16071312</v>
      </c>
      <c r="L41" s="41">
        <f>VLOOKUP(K41,WebPosting!$B$6:$B$561,1,FALSE)</f>
        <v>16071312</v>
      </c>
      <c r="M41" s="46">
        <f>(($V41*1000)*(IFERROR($T41-WebPosting!$K$1,"0")))</f>
        <v>8670000000</v>
      </c>
      <c r="N41" s="43">
        <f t="shared" si="0"/>
        <v>87500.000000000015</v>
      </c>
      <c r="O41" s="416" t="s">
        <v>672</v>
      </c>
      <c r="P41" s="416" t="s">
        <v>688</v>
      </c>
      <c r="Q41" s="416" t="s">
        <v>689</v>
      </c>
      <c r="R41" s="417">
        <v>42564</v>
      </c>
      <c r="S41" s="417">
        <v>43692</v>
      </c>
      <c r="T41" s="417">
        <v>43692</v>
      </c>
      <c r="U41" s="416">
        <v>0.875</v>
      </c>
      <c r="V41" s="418">
        <v>10000</v>
      </c>
      <c r="W41" s="419">
        <v>10000000</v>
      </c>
      <c r="X41" s="416" t="s">
        <v>666</v>
      </c>
      <c r="Y41" s="416" t="s">
        <v>677</v>
      </c>
      <c r="Z41" s="416" t="s">
        <v>690</v>
      </c>
      <c r="AA41" s="419">
        <v>11022.49</v>
      </c>
      <c r="AB41" s="419">
        <v>9842600</v>
      </c>
      <c r="AC41" s="416" t="s">
        <v>666</v>
      </c>
    </row>
    <row r="42" spans="1:39">
      <c r="A42" s="415">
        <v>4</v>
      </c>
      <c r="B42" s="415" t="s">
        <v>338</v>
      </c>
      <c r="C42" s="415">
        <v>30</v>
      </c>
      <c r="D42" s="415" t="s">
        <v>339</v>
      </c>
      <c r="E42" s="415">
        <v>10</v>
      </c>
      <c r="F42" s="415" t="s">
        <v>340</v>
      </c>
      <c r="G42" s="415">
        <v>15</v>
      </c>
      <c r="H42" s="415" t="s">
        <v>341</v>
      </c>
      <c r="I42" s="415" t="s">
        <v>342</v>
      </c>
      <c r="J42" s="415" t="s">
        <v>337</v>
      </c>
      <c r="K42" s="415">
        <v>16102711</v>
      </c>
      <c r="L42" s="41">
        <f>VLOOKUP(K42,WebPosting!$B$6:$B$561,1,FALSE)</f>
        <v>16102711</v>
      </c>
      <c r="M42" s="46">
        <f>(($V42*1000)*(IFERROR($T42-WebPosting!$K$1,"0")))</f>
        <v>9710000000</v>
      </c>
      <c r="N42" s="43">
        <f t="shared" si="0"/>
        <v>112500</v>
      </c>
      <c r="O42" s="416" t="s">
        <v>672</v>
      </c>
      <c r="P42" s="416" t="s">
        <v>667</v>
      </c>
      <c r="Q42" s="416" t="s">
        <v>668</v>
      </c>
      <c r="R42" s="417">
        <v>42670</v>
      </c>
      <c r="S42" s="417">
        <v>43796</v>
      </c>
      <c r="T42" s="417">
        <v>43796</v>
      </c>
      <c r="U42" s="416">
        <v>1.125</v>
      </c>
      <c r="V42" s="418">
        <v>10000</v>
      </c>
      <c r="W42" s="419">
        <v>10000000</v>
      </c>
      <c r="X42" s="416" t="s">
        <v>666</v>
      </c>
      <c r="Y42" s="416" t="s">
        <v>677</v>
      </c>
      <c r="Z42" s="416" t="s">
        <v>691</v>
      </c>
      <c r="AA42" s="419">
        <v>40775.61</v>
      </c>
      <c r="AB42" s="419">
        <v>9868600</v>
      </c>
      <c r="AC42" s="416" t="s">
        <v>666</v>
      </c>
    </row>
    <row r="43" spans="1:39">
      <c r="A43" s="415">
        <v>4</v>
      </c>
      <c r="B43" s="415" t="s">
        <v>338</v>
      </c>
      <c r="C43" s="415">
        <v>30</v>
      </c>
      <c r="D43" s="415" t="s">
        <v>339</v>
      </c>
      <c r="E43" s="415">
        <v>10</v>
      </c>
      <c r="F43" s="415" t="s">
        <v>340</v>
      </c>
      <c r="G43" s="415">
        <v>15</v>
      </c>
      <c r="H43" s="415" t="s">
        <v>341</v>
      </c>
      <c r="I43" s="415" t="s">
        <v>342</v>
      </c>
      <c r="J43" s="415" t="s">
        <v>337</v>
      </c>
      <c r="K43" s="415">
        <v>17032117</v>
      </c>
      <c r="L43" s="41">
        <f>VLOOKUP(K43,WebPosting!$B$6:$B$561,1,FALSE)</f>
        <v>17032117</v>
      </c>
      <c r="M43" s="46">
        <f>(($V43*1000)*(IFERROR($T43-WebPosting!$K$1,"0")))</f>
        <v>11170000000</v>
      </c>
      <c r="N43" s="43">
        <f t="shared" si="0"/>
        <v>187500</v>
      </c>
      <c r="O43" s="416" t="s">
        <v>672</v>
      </c>
      <c r="P43" s="416" t="s">
        <v>679</v>
      </c>
      <c r="Q43" s="416" t="s">
        <v>680</v>
      </c>
      <c r="R43" s="417">
        <v>42815</v>
      </c>
      <c r="S43" s="417">
        <v>43942</v>
      </c>
      <c r="T43" s="417">
        <v>43942</v>
      </c>
      <c r="U43" s="416">
        <v>1.875</v>
      </c>
      <c r="V43" s="418">
        <v>10000</v>
      </c>
      <c r="W43" s="419">
        <v>10000000</v>
      </c>
      <c r="X43" s="416" t="s">
        <v>666</v>
      </c>
      <c r="Y43" s="416" t="s">
        <v>677</v>
      </c>
      <c r="Z43" s="416" t="s">
        <v>692</v>
      </c>
      <c r="AA43" s="419">
        <v>4758.04</v>
      </c>
      <c r="AB43" s="419">
        <v>10037700</v>
      </c>
      <c r="AC43" s="416" t="s">
        <v>666</v>
      </c>
      <c r="AG43" s="53"/>
      <c r="AH43" s="54"/>
    </row>
    <row r="44" spans="1:39">
      <c r="A44" s="415">
        <v>4</v>
      </c>
      <c r="B44" s="415" t="s">
        <v>338</v>
      </c>
      <c r="C44" s="415">
        <v>30</v>
      </c>
      <c r="D44" s="415" t="s">
        <v>339</v>
      </c>
      <c r="E44" s="415">
        <v>10</v>
      </c>
      <c r="F44" s="415" t="s">
        <v>340</v>
      </c>
      <c r="G44" s="415">
        <v>15</v>
      </c>
      <c r="H44" s="415" t="s">
        <v>341</v>
      </c>
      <c r="I44" s="415" t="s">
        <v>342</v>
      </c>
      <c r="J44" s="415" t="s">
        <v>337</v>
      </c>
      <c r="K44" s="415">
        <v>16081014</v>
      </c>
      <c r="L44" s="41">
        <f>VLOOKUP(K44,WebPosting!$B$6:$B$561,1,FALSE)</f>
        <v>16081014</v>
      </c>
      <c r="M44" s="46">
        <f>(($V44*1000)*(IFERROR($T44-WebPosting!$K$1,"0")))</f>
        <v>12280000000</v>
      </c>
      <c r="N44" s="43">
        <f t="shared" si="0"/>
        <v>112500</v>
      </c>
      <c r="O44" s="416" t="s">
        <v>672</v>
      </c>
      <c r="P44" s="416" t="s">
        <v>667</v>
      </c>
      <c r="Q44" s="416" t="s">
        <v>668</v>
      </c>
      <c r="R44" s="417">
        <v>42592</v>
      </c>
      <c r="S44" s="417">
        <v>44053</v>
      </c>
      <c r="T44" s="417">
        <v>44053</v>
      </c>
      <c r="U44" s="416">
        <v>1.125</v>
      </c>
      <c r="V44" s="418">
        <v>10000</v>
      </c>
      <c r="W44" s="419">
        <v>10000000</v>
      </c>
      <c r="X44" s="416" t="s">
        <v>666</v>
      </c>
      <c r="Y44" s="416" t="s">
        <v>677</v>
      </c>
      <c r="Z44" s="416" t="s">
        <v>693</v>
      </c>
      <c r="AA44" s="419">
        <v>15868.05</v>
      </c>
      <c r="AB44" s="419">
        <v>9775100</v>
      </c>
      <c r="AC44" s="416" t="s">
        <v>666</v>
      </c>
    </row>
    <row r="45" spans="1:39">
      <c r="A45" s="415">
        <v>4</v>
      </c>
      <c r="B45" s="415" t="s">
        <v>338</v>
      </c>
      <c r="C45" s="415">
        <v>30</v>
      </c>
      <c r="D45" s="415" t="s">
        <v>339</v>
      </c>
      <c r="E45" s="415">
        <v>10</v>
      </c>
      <c r="F45" s="415" t="s">
        <v>340</v>
      </c>
      <c r="G45" s="415">
        <v>15</v>
      </c>
      <c r="H45" s="415" t="s">
        <v>341</v>
      </c>
      <c r="I45" s="415" t="s">
        <v>342</v>
      </c>
      <c r="J45" s="415" t="s">
        <v>337</v>
      </c>
      <c r="K45" s="415">
        <v>16092011</v>
      </c>
      <c r="L45" s="41">
        <f>VLOOKUP(K45,WebPosting!$B$6:$B$561,1,FALSE)</f>
        <v>16092011</v>
      </c>
      <c r="M45" s="46">
        <f>(($V45*1000)*(IFERROR($T45-WebPosting!$K$1,"0")))</f>
        <v>16340000000</v>
      </c>
      <c r="N45" s="43">
        <f t="shared" si="0"/>
        <v>137500</v>
      </c>
      <c r="O45" s="416" t="s">
        <v>672</v>
      </c>
      <c r="P45" s="416" t="s">
        <v>679</v>
      </c>
      <c r="Q45" s="416" t="s">
        <v>680</v>
      </c>
      <c r="R45" s="417">
        <v>42633</v>
      </c>
      <c r="S45" s="417">
        <v>44459</v>
      </c>
      <c r="T45" s="417">
        <v>44459</v>
      </c>
      <c r="U45" s="416">
        <v>1.375</v>
      </c>
      <c r="V45" s="418">
        <v>10000</v>
      </c>
      <c r="W45" s="419">
        <v>10000000</v>
      </c>
      <c r="X45" s="416" t="s">
        <v>666</v>
      </c>
      <c r="Y45" s="416" t="s">
        <v>677</v>
      </c>
      <c r="Z45" s="416" t="s">
        <v>694</v>
      </c>
      <c r="AA45" s="419">
        <v>3907.77</v>
      </c>
      <c r="AB45" s="419">
        <v>9703000</v>
      </c>
      <c r="AC45" s="416" t="s">
        <v>666</v>
      </c>
    </row>
    <row r="46" spans="1:39">
      <c r="A46" s="415">
        <v>2</v>
      </c>
      <c r="B46" s="415" t="s">
        <v>343</v>
      </c>
      <c r="C46" s="415">
        <v>40</v>
      </c>
      <c r="D46" s="415" t="s">
        <v>344</v>
      </c>
      <c r="E46" s="415">
        <v>10</v>
      </c>
      <c r="F46" s="415" t="s">
        <v>345</v>
      </c>
      <c r="G46" s="415">
        <v>15</v>
      </c>
      <c r="H46" s="415" t="s">
        <v>346</v>
      </c>
      <c r="I46" s="415" t="s">
        <v>347</v>
      </c>
      <c r="J46" s="415" t="s">
        <v>348</v>
      </c>
      <c r="K46" s="415">
        <v>8070306</v>
      </c>
      <c r="L46" s="41">
        <f>VLOOKUP(K46,WebPosting!$B$6:$B$561,1,FALSE)</f>
        <v>8070306</v>
      </c>
      <c r="M46" s="46">
        <f>(($V46*1000)*(IFERROR($T46-WebPosting!$K$1,"0")))</f>
        <v>0</v>
      </c>
      <c r="N46" s="43">
        <f t="shared" si="0"/>
        <v>587.7432</v>
      </c>
      <c r="O46" s="416" t="s">
        <v>672</v>
      </c>
      <c r="P46" s="416" t="s">
        <v>695</v>
      </c>
      <c r="Q46" s="416" t="s">
        <v>371</v>
      </c>
      <c r="R46" s="417">
        <v>39630</v>
      </c>
      <c r="S46" s="416" t="s">
        <v>696</v>
      </c>
      <c r="T46" s="416" t="s">
        <v>696</v>
      </c>
      <c r="U46" s="416">
        <v>1.0823999999999999E-4</v>
      </c>
      <c r="V46" s="418">
        <v>543000</v>
      </c>
      <c r="W46" s="419">
        <v>543000000</v>
      </c>
      <c r="X46" s="416" t="s">
        <v>666</v>
      </c>
      <c r="Y46" s="416" t="s">
        <v>697</v>
      </c>
      <c r="Z46" s="416" t="s">
        <v>664</v>
      </c>
      <c r="AA46" s="416" t="s">
        <v>665</v>
      </c>
      <c r="AB46" s="416" t="s">
        <v>666</v>
      </c>
      <c r="AC46" s="416" t="s">
        <v>666</v>
      </c>
    </row>
    <row r="47" spans="1:39">
      <c r="A47" s="415">
        <v>2</v>
      </c>
      <c r="B47" s="415" t="s">
        <v>343</v>
      </c>
      <c r="C47" s="415">
        <v>40</v>
      </c>
      <c r="D47" s="415" t="s">
        <v>344</v>
      </c>
      <c r="E47" s="415">
        <v>43</v>
      </c>
      <c r="F47" s="415" t="s">
        <v>349</v>
      </c>
      <c r="G47" s="415">
        <v>36</v>
      </c>
      <c r="H47" s="415" t="s">
        <v>350</v>
      </c>
      <c r="I47" s="415" t="s">
        <v>351</v>
      </c>
      <c r="J47" s="415" t="s">
        <v>352</v>
      </c>
      <c r="K47" s="415">
        <v>11040502</v>
      </c>
      <c r="L47" s="41">
        <f>VLOOKUP(K47,WebPosting!$B$6:$B$561,1,FALSE)</f>
        <v>11040502</v>
      </c>
      <c r="M47" s="46">
        <f>(($V47*1000)*(IFERROR($T47-WebPosting!$K$1,"0")))</f>
        <v>0</v>
      </c>
      <c r="N47" s="43">
        <f t="shared" si="0"/>
        <v>22.5</v>
      </c>
      <c r="O47" s="416" t="s">
        <v>672</v>
      </c>
      <c r="P47" s="416" t="s">
        <v>695</v>
      </c>
      <c r="Q47" s="416" t="s">
        <v>371</v>
      </c>
      <c r="R47" s="417">
        <v>40634</v>
      </c>
      <c r="S47" s="416" t="s">
        <v>696</v>
      </c>
      <c r="T47" s="416" t="s">
        <v>696</v>
      </c>
      <c r="U47" s="416">
        <v>7.4999999999999997E-2</v>
      </c>
      <c r="V47" s="416">
        <v>30</v>
      </c>
      <c r="W47" s="419">
        <v>30259.09</v>
      </c>
      <c r="X47" s="416" t="s">
        <v>666</v>
      </c>
      <c r="Y47" s="416" t="s">
        <v>697</v>
      </c>
      <c r="Z47" s="416" t="s">
        <v>664</v>
      </c>
      <c r="AA47" s="416" t="s">
        <v>665</v>
      </c>
      <c r="AB47" s="416" t="s">
        <v>666</v>
      </c>
      <c r="AC47" s="416" t="s">
        <v>666</v>
      </c>
      <c r="AH47" s="54"/>
    </row>
    <row r="48" spans="1:39">
      <c r="A48" s="415">
        <v>2</v>
      </c>
      <c r="B48" s="415" t="s">
        <v>343</v>
      </c>
      <c r="C48" s="415">
        <v>40</v>
      </c>
      <c r="D48" s="415" t="s">
        <v>344</v>
      </c>
      <c r="E48" s="415">
        <v>50</v>
      </c>
      <c r="F48" s="415" t="s">
        <v>353</v>
      </c>
      <c r="G48" s="415">
        <v>36</v>
      </c>
      <c r="H48" s="415" t="s">
        <v>350</v>
      </c>
      <c r="I48" s="415" t="s">
        <v>354</v>
      </c>
      <c r="J48" s="415" t="s">
        <v>355</v>
      </c>
      <c r="K48" s="415">
        <v>8070321</v>
      </c>
      <c r="L48" s="41">
        <f>VLOOKUP(K48,WebPosting!$B$6:$B$561,1,FALSE)</f>
        <v>8070321</v>
      </c>
      <c r="M48" s="46">
        <f>(($V48*1000)*(IFERROR($T48-WebPosting!$K$1,"0")))</f>
        <v>0</v>
      </c>
      <c r="N48" s="43">
        <f t="shared" si="0"/>
        <v>201.26037360000001</v>
      </c>
      <c r="O48" s="416" t="s">
        <v>672</v>
      </c>
      <c r="P48" s="416" t="s">
        <v>695</v>
      </c>
      <c r="Q48" s="416" t="s">
        <v>371</v>
      </c>
      <c r="R48" s="417">
        <v>39630</v>
      </c>
      <c r="S48" s="416" t="s">
        <v>696</v>
      </c>
      <c r="T48" s="416" t="s">
        <v>696</v>
      </c>
      <c r="U48" s="416">
        <v>1.0823999999999999E-4</v>
      </c>
      <c r="V48" s="418">
        <v>185939</v>
      </c>
      <c r="W48" s="419">
        <v>185938780.19999999</v>
      </c>
      <c r="X48" s="416" t="s">
        <v>666</v>
      </c>
      <c r="Y48" s="416" t="s">
        <v>697</v>
      </c>
      <c r="Z48" s="416" t="s">
        <v>664</v>
      </c>
      <c r="AA48" s="416" t="s">
        <v>665</v>
      </c>
      <c r="AB48" s="416" t="s">
        <v>666</v>
      </c>
      <c r="AC48" s="416" t="s">
        <v>666</v>
      </c>
      <c r="AG48" s="53"/>
      <c r="AH48" s="54"/>
    </row>
    <row r="49" spans="1:34">
      <c r="A49" s="415">
        <v>2</v>
      </c>
      <c r="B49" s="415" t="s">
        <v>343</v>
      </c>
      <c r="C49" s="415">
        <v>40</v>
      </c>
      <c r="D49" s="415" t="s">
        <v>344</v>
      </c>
      <c r="E49" s="415">
        <v>64</v>
      </c>
      <c r="F49" s="415" t="s">
        <v>356</v>
      </c>
      <c r="G49" s="415">
        <v>15</v>
      </c>
      <c r="H49" s="415" t="s">
        <v>346</v>
      </c>
      <c r="I49" s="415" t="s">
        <v>357</v>
      </c>
      <c r="J49" s="415" t="s">
        <v>358</v>
      </c>
      <c r="K49" s="415">
        <v>16100716</v>
      </c>
      <c r="L49" s="41">
        <f>VLOOKUP(K49,WebPosting!$B$6:$B$561,1,FALSE)</f>
        <v>16100716</v>
      </c>
      <c r="M49" s="46">
        <f>(($V49*1000)*(IFERROR($T49-WebPosting!$K$1,"0")))</f>
        <v>0</v>
      </c>
      <c r="N49" s="43">
        <f t="shared" si="0"/>
        <v>0</v>
      </c>
      <c r="O49" s="416" t="s">
        <v>672</v>
      </c>
      <c r="P49" s="416" t="s">
        <v>695</v>
      </c>
      <c r="Q49" s="416" t="s">
        <v>371</v>
      </c>
      <c r="R49" s="417">
        <v>42650</v>
      </c>
      <c r="S49" s="416" t="s">
        <v>696</v>
      </c>
      <c r="T49" s="416" t="s">
        <v>696</v>
      </c>
      <c r="U49" s="416">
        <v>0.01</v>
      </c>
      <c r="V49" s="416"/>
      <c r="W49" s="416">
        <v>0.24</v>
      </c>
      <c r="X49" s="416" t="s">
        <v>666</v>
      </c>
      <c r="Y49" s="416" t="s">
        <v>697</v>
      </c>
      <c r="Z49" s="416" t="s">
        <v>664</v>
      </c>
      <c r="AA49" s="416" t="s">
        <v>665</v>
      </c>
      <c r="AB49" s="416" t="s">
        <v>666</v>
      </c>
      <c r="AC49" s="416" t="s">
        <v>666</v>
      </c>
      <c r="AG49" s="53"/>
      <c r="AH49" s="54"/>
    </row>
    <row r="50" spans="1:34">
      <c r="A50" s="415">
        <v>2</v>
      </c>
      <c r="B50" s="415" t="s">
        <v>343</v>
      </c>
      <c r="C50" s="415">
        <v>40</v>
      </c>
      <c r="D50" s="415" t="s">
        <v>344</v>
      </c>
      <c r="E50" s="415">
        <v>66</v>
      </c>
      <c r="F50" s="415" t="s">
        <v>359</v>
      </c>
      <c r="G50" s="415">
        <v>36</v>
      </c>
      <c r="H50" s="415" t="s">
        <v>346</v>
      </c>
      <c r="I50" s="415" t="s">
        <v>360</v>
      </c>
      <c r="J50" s="415" t="s">
        <v>361</v>
      </c>
      <c r="K50" s="415">
        <v>8070316</v>
      </c>
      <c r="L50" s="41">
        <f>VLOOKUP(K50,WebPosting!$B$6:$B$561,1,FALSE)</f>
        <v>8070316</v>
      </c>
      <c r="M50" s="46">
        <f>(($V50*1000)*(IFERROR($T50-WebPosting!$K$1,"0")))</f>
        <v>0</v>
      </c>
      <c r="N50" s="43">
        <f t="shared" si="0"/>
        <v>0</v>
      </c>
      <c r="O50" s="416" t="s">
        <v>672</v>
      </c>
      <c r="P50" s="416" t="s">
        <v>695</v>
      </c>
      <c r="Q50" s="416" t="s">
        <v>371</v>
      </c>
      <c r="R50" s="417">
        <v>39630</v>
      </c>
      <c r="S50" s="416" t="s">
        <v>696</v>
      </c>
      <c r="T50" s="416" t="s">
        <v>696</v>
      </c>
      <c r="U50" s="416">
        <v>1.053424E-4</v>
      </c>
      <c r="V50" s="416"/>
      <c r="W50" s="416">
        <v>0</v>
      </c>
      <c r="X50" s="416" t="s">
        <v>666</v>
      </c>
      <c r="Y50" s="416" t="s">
        <v>697</v>
      </c>
      <c r="Z50" s="416" t="s">
        <v>664</v>
      </c>
      <c r="AA50" s="416" t="s">
        <v>665</v>
      </c>
      <c r="AB50" s="416" t="s">
        <v>666</v>
      </c>
      <c r="AC50" s="416" t="s">
        <v>666</v>
      </c>
    </row>
    <row r="51" spans="1:34">
      <c r="A51" s="415">
        <v>2</v>
      </c>
      <c r="B51" s="415" t="s">
        <v>343</v>
      </c>
      <c r="C51" s="415">
        <v>40</v>
      </c>
      <c r="D51" s="415" t="s">
        <v>344</v>
      </c>
      <c r="E51" s="415">
        <v>67</v>
      </c>
      <c r="F51" s="415" t="s">
        <v>362</v>
      </c>
      <c r="G51" s="415">
        <v>36</v>
      </c>
      <c r="H51" s="415" t="s">
        <v>346</v>
      </c>
      <c r="I51" s="415" t="s">
        <v>363</v>
      </c>
      <c r="J51" s="415" t="s">
        <v>337</v>
      </c>
      <c r="K51" s="415">
        <v>12080820</v>
      </c>
      <c r="L51" s="41">
        <f>VLOOKUP(K51,WebPosting!$B$6:$B$561,1,FALSE)</f>
        <v>12080820</v>
      </c>
      <c r="M51" s="46">
        <f>(($V51*1000)*(IFERROR($T51-WebPosting!$K$1,"0")))</f>
        <v>0</v>
      </c>
      <c r="N51" s="43">
        <f t="shared" si="0"/>
        <v>1.7989999999999999</v>
      </c>
      <c r="O51" s="416" t="s">
        <v>672</v>
      </c>
      <c r="P51" s="416" t="s">
        <v>695</v>
      </c>
      <c r="Q51" s="416" t="s">
        <v>371</v>
      </c>
      <c r="R51" s="417">
        <v>41122</v>
      </c>
      <c r="S51" s="416" t="s">
        <v>696</v>
      </c>
      <c r="T51" s="416" t="s">
        <v>696</v>
      </c>
      <c r="U51" s="416">
        <v>1E-4</v>
      </c>
      <c r="V51" s="418">
        <v>1799</v>
      </c>
      <c r="W51" s="419">
        <v>1798558.38</v>
      </c>
      <c r="X51" s="416" t="s">
        <v>666</v>
      </c>
      <c r="Y51" s="416" t="s">
        <v>697</v>
      </c>
      <c r="Z51" s="416" t="s">
        <v>664</v>
      </c>
      <c r="AA51" s="416" t="s">
        <v>665</v>
      </c>
      <c r="AB51" s="416" t="s">
        <v>666</v>
      </c>
      <c r="AC51" s="416" t="s">
        <v>666</v>
      </c>
      <c r="AG51" s="53"/>
      <c r="AH51" s="54"/>
    </row>
    <row r="52" spans="1:34">
      <c r="A52" s="415">
        <v>2</v>
      </c>
      <c r="B52" s="415" t="s">
        <v>343</v>
      </c>
      <c r="C52" s="415">
        <v>40</v>
      </c>
      <c r="D52" s="415" t="s">
        <v>344</v>
      </c>
      <c r="E52" s="415">
        <v>69</v>
      </c>
      <c r="F52" s="415" t="s">
        <v>364</v>
      </c>
      <c r="G52" s="415">
        <v>36</v>
      </c>
      <c r="H52" s="415" t="s">
        <v>346</v>
      </c>
      <c r="I52" s="415" t="s">
        <v>365</v>
      </c>
      <c r="J52" s="415" t="s">
        <v>337</v>
      </c>
      <c r="K52" s="415">
        <v>14071020</v>
      </c>
      <c r="L52" s="41">
        <f>VLOOKUP(K52,WebPosting!$B$6:$B$561,1,FALSE)</f>
        <v>14071020</v>
      </c>
      <c r="M52" s="46">
        <f>(($V52*1000)*(IFERROR($T52-WebPosting!$K$1,"0")))</f>
        <v>0</v>
      </c>
      <c r="N52" s="43">
        <f t="shared" si="0"/>
        <v>0</v>
      </c>
      <c r="O52" s="416" t="s">
        <v>672</v>
      </c>
      <c r="P52" s="416" t="s">
        <v>695</v>
      </c>
      <c r="Q52" s="416" t="s">
        <v>371</v>
      </c>
      <c r="R52" s="417">
        <v>41829</v>
      </c>
      <c r="S52" s="416" t="s">
        <v>696</v>
      </c>
      <c r="T52" s="416" t="s">
        <v>696</v>
      </c>
      <c r="U52" s="416">
        <v>1.0823999999999999E-4</v>
      </c>
      <c r="V52" s="416"/>
      <c r="W52" s="416">
        <v>0</v>
      </c>
      <c r="X52" s="416" t="s">
        <v>666</v>
      </c>
      <c r="Y52" s="416" t="s">
        <v>697</v>
      </c>
      <c r="Z52" s="416" t="s">
        <v>664</v>
      </c>
      <c r="AA52" s="416" t="s">
        <v>665</v>
      </c>
      <c r="AB52" s="416" t="s">
        <v>666</v>
      </c>
      <c r="AC52" s="416" t="s">
        <v>666</v>
      </c>
    </row>
    <row r="53" spans="1:34">
      <c r="A53" s="415">
        <v>2</v>
      </c>
      <c r="B53" s="415" t="s">
        <v>343</v>
      </c>
      <c r="C53" s="415">
        <v>40</v>
      </c>
      <c r="D53" s="415" t="s">
        <v>344</v>
      </c>
      <c r="E53" s="415">
        <v>70</v>
      </c>
      <c r="F53" s="415" t="s">
        <v>366</v>
      </c>
      <c r="G53" s="415">
        <v>33</v>
      </c>
      <c r="H53" s="415" t="s">
        <v>350</v>
      </c>
      <c r="I53" s="415" t="s">
        <v>367</v>
      </c>
      <c r="J53" s="415" t="s">
        <v>337</v>
      </c>
      <c r="K53" s="415">
        <v>14031310</v>
      </c>
      <c r="L53" s="41">
        <f>VLOOKUP(K53,WebPosting!$B$6:$B$561,1,FALSE)</f>
        <v>14031310</v>
      </c>
      <c r="M53" s="46">
        <f>(($V53*1000)*(IFERROR($T53-WebPosting!$K$1,"0")))</f>
        <v>0</v>
      </c>
      <c r="N53" s="43">
        <f t="shared" si="0"/>
        <v>42.5</v>
      </c>
      <c r="O53" s="416" t="s">
        <v>672</v>
      </c>
      <c r="P53" s="416" t="s">
        <v>695</v>
      </c>
      <c r="Q53" s="416" t="s">
        <v>371</v>
      </c>
      <c r="R53" s="417">
        <v>41711</v>
      </c>
      <c r="S53" s="416" t="s">
        <v>696</v>
      </c>
      <c r="T53" s="416" t="s">
        <v>696</v>
      </c>
      <c r="U53" s="416">
        <v>0.01</v>
      </c>
      <c r="V53" s="416">
        <v>425</v>
      </c>
      <c r="W53" s="419">
        <v>424946.18</v>
      </c>
      <c r="X53" s="416" t="s">
        <v>666</v>
      </c>
      <c r="Y53" s="416" t="s">
        <v>697</v>
      </c>
      <c r="Z53" s="416" t="s">
        <v>664</v>
      </c>
      <c r="AA53" s="416" t="s">
        <v>665</v>
      </c>
      <c r="AB53" s="416" t="s">
        <v>666</v>
      </c>
      <c r="AC53" s="416" t="s">
        <v>666</v>
      </c>
      <c r="AG53" s="53"/>
      <c r="AH53" s="54"/>
    </row>
    <row r="54" spans="1:34">
      <c r="A54" s="415">
        <v>2</v>
      </c>
      <c r="B54" s="415" t="s">
        <v>343</v>
      </c>
      <c r="C54" s="415">
        <v>40</v>
      </c>
      <c r="D54" s="415" t="s">
        <v>344</v>
      </c>
      <c r="E54" s="415">
        <v>71</v>
      </c>
      <c r="F54" s="415" t="s">
        <v>368</v>
      </c>
      <c r="G54" s="415">
        <v>36</v>
      </c>
      <c r="H54" s="415" t="s">
        <v>346</v>
      </c>
      <c r="I54" s="415" t="s">
        <v>369</v>
      </c>
      <c r="J54" s="415" t="s">
        <v>337</v>
      </c>
      <c r="K54" s="415">
        <v>13083016</v>
      </c>
      <c r="L54" s="41">
        <f>VLOOKUP(K54,WebPosting!$B$6:$B$561,1,FALSE)</f>
        <v>13083016</v>
      </c>
      <c r="M54" s="46">
        <f>(($V54*1000)*(IFERROR($T54-WebPosting!$K$1,"0")))</f>
        <v>0</v>
      </c>
      <c r="N54" s="43">
        <f t="shared" si="0"/>
        <v>0</v>
      </c>
      <c r="O54" s="416" t="s">
        <v>672</v>
      </c>
      <c r="P54" s="416" t="s">
        <v>695</v>
      </c>
      <c r="Q54" s="416" t="s">
        <v>371</v>
      </c>
      <c r="R54" s="417">
        <v>41516</v>
      </c>
      <c r="S54" s="416" t="s">
        <v>696</v>
      </c>
      <c r="T54" s="416" t="s">
        <v>696</v>
      </c>
      <c r="U54" s="416">
        <v>0.01</v>
      </c>
      <c r="V54" s="416"/>
      <c r="W54" s="416">
        <v>0</v>
      </c>
      <c r="X54" s="416" t="s">
        <v>666</v>
      </c>
      <c r="Y54" s="416" t="s">
        <v>697</v>
      </c>
      <c r="Z54" s="416" t="s">
        <v>664</v>
      </c>
      <c r="AA54" s="416" t="s">
        <v>665</v>
      </c>
      <c r="AB54" s="416" t="s">
        <v>666</v>
      </c>
      <c r="AC54" s="416" t="s">
        <v>666</v>
      </c>
      <c r="AH54" s="54"/>
    </row>
    <row r="55" spans="1:34">
      <c r="A55" s="415">
        <v>2</v>
      </c>
      <c r="B55" s="415" t="s">
        <v>343</v>
      </c>
      <c r="C55" s="415">
        <v>40</v>
      </c>
      <c r="D55" s="415" t="s">
        <v>344</v>
      </c>
      <c r="E55" s="415">
        <v>72</v>
      </c>
      <c r="F55" s="415" t="s">
        <v>370</v>
      </c>
      <c r="G55" s="415">
        <v>36</v>
      </c>
      <c r="H55" s="415" t="s">
        <v>371</v>
      </c>
      <c r="I55" s="415" t="s">
        <v>372</v>
      </c>
      <c r="J55" s="415" t="s">
        <v>348</v>
      </c>
      <c r="K55" s="415">
        <v>8070305</v>
      </c>
      <c r="L55" s="41">
        <f>VLOOKUP(K55,WebPosting!$B$6:$B$561,1,FALSE)</f>
        <v>8070305</v>
      </c>
      <c r="M55" s="46">
        <f>(($V55*1000)*(IFERROR($T55-WebPosting!$K$1,"0")))</f>
        <v>0</v>
      </c>
      <c r="N55" s="43">
        <f t="shared" si="0"/>
        <v>3.2472000000000001E-2</v>
      </c>
      <c r="O55" s="416" t="s">
        <v>672</v>
      </c>
      <c r="P55" s="416" t="s">
        <v>695</v>
      </c>
      <c r="Q55" s="416" t="s">
        <v>371</v>
      </c>
      <c r="R55" s="417">
        <v>39630</v>
      </c>
      <c r="S55" s="416" t="s">
        <v>696</v>
      </c>
      <c r="T55" s="416" t="s">
        <v>696</v>
      </c>
      <c r="U55" s="416">
        <v>1.0824000000000001E-3</v>
      </c>
      <c r="V55" s="416">
        <v>3</v>
      </c>
      <c r="W55" s="419">
        <v>3288.32</v>
      </c>
      <c r="X55" s="416" t="s">
        <v>666</v>
      </c>
      <c r="Y55" s="416" t="s">
        <v>697</v>
      </c>
      <c r="Z55" s="416" t="s">
        <v>664</v>
      </c>
      <c r="AA55" s="416" t="s">
        <v>665</v>
      </c>
      <c r="AB55" s="416" t="s">
        <v>666</v>
      </c>
      <c r="AC55" s="416" t="s">
        <v>666</v>
      </c>
    </row>
    <row r="56" spans="1:34">
      <c r="A56" s="415">
        <v>2</v>
      </c>
      <c r="B56" s="415" t="s">
        <v>343</v>
      </c>
      <c r="C56" s="415">
        <v>40</v>
      </c>
      <c r="D56" s="415" t="s">
        <v>344</v>
      </c>
      <c r="E56" s="415">
        <v>73</v>
      </c>
      <c r="F56" s="415" t="s">
        <v>373</v>
      </c>
      <c r="G56" s="415">
        <v>36</v>
      </c>
      <c r="H56" s="415" t="s">
        <v>371</v>
      </c>
      <c r="I56" s="415" t="s">
        <v>374</v>
      </c>
      <c r="J56" s="415" t="s">
        <v>337</v>
      </c>
      <c r="K56" s="415">
        <v>12072510</v>
      </c>
      <c r="L56" s="41">
        <f>VLOOKUP(K56,WebPosting!$B$6:$B$561,1,FALSE)</f>
        <v>12072510</v>
      </c>
      <c r="M56" s="46">
        <f>(($V56*1000)*(IFERROR($T56-WebPosting!$K$1,"0")))</f>
        <v>0</v>
      </c>
      <c r="N56" s="43">
        <f t="shared" si="0"/>
        <v>5.6779999999999999</v>
      </c>
      <c r="O56" s="416" t="s">
        <v>672</v>
      </c>
      <c r="P56" s="416" t="s">
        <v>695</v>
      </c>
      <c r="Q56" s="416" t="s">
        <v>371</v>
      </c>
      <c r="R56" s="417">
        <v>41110</v>
      </c>
      <c r="S56" s="416" t="s">
        <v>696</v>
      </c>
      <c r="T56" s="416" t="s">
        <v>696</v>
      </c>
      <c r="U56" s="416">
        <v>1E-4</v>
      </c>
      <c r="V56" s="418">
        <v>5678</v>
      </c>
      <c r="W56" s="419">
        <v>5678374.7000000002</v>
      </c>
      <c r="X56" s="416" t="s">
        <v>666</v>
      </c>
      <c r="Y56" s="416" t="s">
        <v>697</v>
      </c>
      <c r="Z56" s="416" t="s">
        <v>664</v>
      </c>
      <c r="AA56" s="416" t="s">
        <v>665</v>
      </c>
      <c r="AB56" s="416" t="s">
        <v>666</v>
      </c>
      <c r="AC56" s="416" t="s">
        <v>666</v>
      </c>
    </row>
    <row r="57" spans="1:34">
      <c r="A57" s="415">
        <v>2</v>
      </c>
      <c r="B57" s="415" t="s">
        <v>343</v>
      </c>
      <c r="C57" s="415">
        <v>40</v>
      </c>
      <c r="D57" s="415" t="s">
        <v>344</v>
      </c>
      <c r="E57" s="415">
        <v>75</v>
      </c>
      <c r="F57" s="415" t="s">
        <v>375</v>
      </c>
      <c r="G57" s="415">
        <v>33</v>
      </c>
      <c r="H57" s="415" t="s">
        <v>350</v>
      </c>
      <c r="I57" s="415" t="s">
        <v>376</v>
      </c>
      <c r="J57" s="415" t="s">
        <v>361</v>
      </c>
      <c r="K57" s="415">
        <v>9120102</v>
      </c>
      <c r="L57" s="41" t="e">
        <f>VLOOKUP(K57,WebPosting!$B$6:$B$561,1,FALSE)</f>
        <v>#N/A</v>
      </c>
      <c r="M57" s="46">
        <f>(($V57*1000)*(IFERROR($T57-WebPosting!$K$1,"0")))</f>
        <v>0</v>
      </c>
      <c r="N57" s="43">
        <f t="shared" si="0"/>
        <v>0</v>
      </c>
      <c r="O57" s="416" t="s">
        <v>672</v>
      </c>
      <c r="P57" s="416" t="s">
        <v>695</v>
      </c>
      <c r="Q57" s="416" t="s">
        <v>371</v>
      </c>
      <c r="R57" s="417">
        <v>40148</v>
      </c>
      <c r="S57" s="416" t="s">
        <v>696</v>
      </c>
      <c r="T57" s="416" t="s">
        <v>696</v>
      </c>
      <c r="U57" s="416">
        <v>1.0823999999999999E-4</v>
      </c>
      <c r="V57" s="416"/>
      <c r="W57" s="416">
        <v>0</v>
      </c>
      <c r="X57" s="416" t="s">
        <v>666</v>
      </c>
      <c r="Y57" s="416" t="s">
        <v>697</v>
      </c>
      <c r="Z57" s="416" t="s">
        <v>664</v>
      </c>
      <c r="AA57" s="416" t="s">
        <v>665</v>
      </c>
      <c r="AB57" s="416" t="s">
        <v>666</v>
      </c>
      <c r="AC57" s="416" t="s">
        <v>666</v>
      </c>
      <c r="AG57" s="53"/>
      <c r="AH57" s="54"/>
    </row>
    <row r="58" spans="1:34">
      <c r="A58" s="415">
        <v>2</v>
      </c>
      <c r="B58" s="415" t="s">
        <v>343</v>
      </c>
      <c r="C58" s="415">
        <v>40</v>
      </c>
      <c r="D58" s="415" t="s">
        <v>344</v>
      </c>
      <c r="E58" s="415">
        <v>76</v>
      </c>
      <c r="F58" s="415" t="s">
        <v>377</v>
      </c>
      <c r="G58" s="415">
        <v>33</v>
      </c>
      <c r="H58" s="415" t="s">
        <v>350</v>
      </c>
      <c r="I58" s="415" t="s">
        <v>378</v>
      </c>
      <c r="J58" s="415" t="s">
        <v>379</v>
      </c>
      <c r="K58" s="415">
        <v>8070302</v>
      </c>
      <c r="L58" s="41">
        <f>VLOOKUP(K58,WebPosting!$B$6:$B$561,1,FALSE)</f>
        <v>8070302</v>
      </c>
      <c r="M58" s="46">
        <f>(($V58*1000)*(IFERROR($T58-WebPosting!$K$1,"0")))</f>
        <v>0</v>
      </c>
      <c r="N58" s="43">
        <f t="shared" si="0"/>
        <v>39.372300000000003</v>
      </c>
      <c r="O58" s="416" t="s">
        <v>672</v>
      </c>
      <c r="P58" s="416" t="s">
        <v>695</v>
      </c>
      <c r="Q58" s="416" t="s">
        <v>371</v>
      </c>
      <c r="R58" s="417">
        <v>39630</v>
      </c>
      <c r="S58" s="416" t="s">
        <v>696</v>
      </c>
      <c r="T58" s="416" t="s">
        <v>696</v>
      </c>
      <c r="U58" s="416">
        <v>1.0823999999999999E-4</v>
      </c>
      <c r="V58" s="418">
        <v>36375</v>
      </c>
      <c r="W58" s="419">
        <v>36375000</v>
      </c>
      <c r="X58" s="416" t="s">
        <v>666</v>
      </c>
      <c r="Y58" s="416" t="s">
        <v>697</v>
      </c>
      <c r="Z58" s="416" t="s">
        <v>664</v>
      </c>
      <c r="AA58" s="416" t="s">
        <v>665</v>
      </c>
      <c r="AB58" s="416" t="s">
        <v>666</v>
      </c>
      <c r="AC58" s="416" t="s">
        <v>666</v>
      </c>
    </row>
    <row r="59" spans="1:34">
      <c r="A59" s="415">
        <v>2</v>
      </c>
      <c r="B59" s="415" t="s">
        <v>343</v>
      </c>
      <c r="C59" s="415">
        <v>40</v>
      </c>
      <c r="D59" s="415" t="s">
        <v>344</v>
      </c>
      <c r="E59" s="415">
        <v>77</v>
      </c>
      <c r="F59" s="415" t="s">
        <v>380</v>
      </c>
      <c r="G59" s="415">
        <v>36</v>
      </c>
      <c r="H59" s="415" t="s">
        <v>371</v>
      </c>
      <c r="I59" s="415" t="s">
        <v>381</v>
      </c>
      <c r="J59" s="415" t="s">
        <v>337</v>
      </c>
      <c r="K59" s="415">
        <v>12051002</v>
      </c>
      <c r="L59" s="41">
        <f>VLOOKUP(K59,WebPosting!$B$6:$B$561,1,FALSE)</f>
        <v>12051002</v>
      </c>
      <c r="M59" s="46">
        <f>(($V59*1000)*(IFERROR($T59-WebPosting!$K$1,"0")))</f>
        <v>0</v>
      </c>
      <c r="N59" s="43">
        <f t="shared" si="0"/>
        <v>0</v>
      </c>
      <c r="O59" s="416" t="s">
        <v>672</v>
      </c>
      <c r="P59" s="416" t="s">
        <v>695</v>
      </c>
      <c r="Q59" s="416" t="s">
        <v>371</v>
      </c>
      <c r="R59" s="417">
        <v>41038</v>
      </c>
      <c r="S59" s="416" t="s">
        <v>696</v>
      </c>
      <c r="T59" s="416" t="s">
        <v>696</v>
      </c>
      <c r="U59" s="416">
        <v>1.0823999999999999E-4</v>
      </c>
      <c r="V59" s="416"/>
      <c r="W59" s="416">
        <v>0</v>
      </c>
      <c r="X59" s="416" t="s">
        <v>666</v>
      </c>
      <c r="Y59" s="416" t="s">
        <v>697</v>
      </c>
      <c r="Z59" s="416" t="s">
        <v>664</v>
      </c>
      <c r="AA59" s="416" t="s">
        <v>665</v>
      </c>
      <c r="AB59" s="416" t="s">
        <v>666</v>
      </c>
      <c r="AC59" s="416" t="s">
        <v>666</v>
      </c>
    </row>
    <row r="60" spans="1:34">
      <c r="A60" s="415">
        <v>2</v>
      </c>
      <c r="B60" s="415" t="s">
        <v>343</v>
      </c>
      <c r="C60" s="415">
        <v>40</v>
      </c>
      <c r="D60" s="415" t="s">
        <v>344</v>
      </c>
      <c r="E60" s="415">
        <v>78</v>
      </c>
      <c r="F60" s="415" t="s">
        <v>382</v>
      </c>
      <c r="G60" s="415">
        <v>33</v>
      </c>
      <c r="H60" s="415" t="s">
        <v>350</v>
      </c>
      <c r="I60" s="415" t="s">
        <v>383</v>
      </c>
      <c r="J60" s="415" t="s">
        <v>348</v>
      </c>
      <c r="K60" s="415">
        <v>8070310</v>
      </c>
      <c r="L60" s="41">
        <f>VLOOKUP(K60,WebPosting!$B$6:$B$561,1,FALSE)</f>
        <v>8070310</v>
      </c>
      <c r="M60" s="46">
        <f>(($V60*1000)*(IFERROR($T60-WebPosting!$K$1,"0")))</f>
        <v>0</v>
      </c>
      <c r="N60" s="43">
        <f t="shared" si="0"/>
        <v>12.9682344</v>
      </c>
      <c r="O60" s="416" t="s">
        <v>672</v>
      </c>
      <c r="P60" s="416" t="s">
        <v>695</v>
      </c>
      <c r="Q60" s="416" t="s">
        <v>371</v>
      </c>
      <c r="R60" s="417">
        <v>39630</v>
      </c>
      <c r="S60" s="416" t="s">
        <v>696</v>
      </c>
      <c r="T60" s="416" t="s">
        <v>696</v>
      </c>
      <c r="U60" s="416">
        <v>1.0823999999999999E-4</v>
      </c>
      <c r="V60" s="418">
        <v>11981</v>
      </c>
      <c r="W60" s="419">
        <v>11980571.25</v>
      </c>
      <c r="X60" s="416" t="s">
        <v>666</v>
      </c>
      <c r="Y60" s="416" t="s">
        <v>697</v>
      </c>
      <c r="Z60" s="416" t="s">
        <v>664</v>
      </c>
      <c r="AA60" s="416" t="s">
        <v>665</v>
      </c>
      <c r="AB60" s="416" t="s">
        <v>666</v>
      </c>
      <c r="AC60" s="416" t="s">
        <v>666</v>
      </c>
    </row>
    <row r="61" spans="1:34">
      <c r="A61" s="415">
        <v>2</v>
      </c>
      <c r="B61" s="415" t="s">
        <v>343</v>
      </c>
      <c r="C61" s="415">
        <v>40</v>
      </c>
      <c r="D61" s="415" t="s">
        <v>344</v>
      </c>
      <c r="E61" s="415">
        <v>79</v>
      </c>
      <c r="F61" s="415" t="s">
        <v>384</v>
      </c>
      <c r="G61" s="415">
        <v>36</v>
      </c>
      <c r="H61" s="415" t="s">
        <v>350</v>
      </c>
      <c r="I61" s="415" t="s">
        <v>385</v>
      </c>
      <c r="J61" s="415" t="s">
        <v>386</v>
      </c>
      <c r="K61" s="415">
        <v>9071512</v>
      </c>
      <c r="L61" s="41">
        <f>VLOOKUP(K61,WebPosting!$B$6:$B$561,1,FALSE)</f>
        <v>9071512</v>
      </c>
      <c r="M61" s="46">
        <f>(($V61*1000)*(IFERROR($T61-WebPosting!$K$1,"0")))</f>
        <v>0</v>
      </c>
      <c r="N61" s="43">
        <f t="shared" si="0"/>
        <v>22.151316000000001</v>
      </c>
      <c r="O61" s="416" t="s">
        <v>672</v>
      </c>
      <c r="P61" s="416" t="s">
        <v>695</v>
      </c>
      <c r="Q61" s="416" t="s">
        <v>371</v>
      </c>
      <c r="R61" s="417">
        <v>40009</v>
      </c>
      <c r="S61" s="416" t="s">
        <v>696</v>
      </c>
      <c r="T61" s="416" t="s">
        <v>696</v>
      </c>
      <c r="U61" s="416">
        <v>1.0823999999999999E-4</v>
      </c>
      <c r="V61" s="418">
        <v>20465</v>
      </c>
      <c r="W61" s="419">
        <v>20464790.690000001</v>
      </c>
      <c r="X61" s="416" t="s">
        <v>666</v>
      </c>
      <c r="Y61" s="416" t="s">
        <v>697</v>
      </c>
      <c r="Z61" s="416" t="s">
        <v>664</v>
      </c>
      <c r="AA61" s="416" t="s">
        <v>665</v>
      </c>
      <c r="AB61" s="416" t="s">
        <v>666</v>
      </c>
      <c r="AC61" s="416" t="s">
        <v>666</v>
      </c>
    </row>
    <row r="62" spans="1:34">
      <c r="A62" s="415">
        <v>2</v>
      </c>
      <c r="B62" s="415" t="s">
        <v>343</v>
      </c>
      <c r="C62" s="415">
        <v>40</v>
      </c>
      <c r="D62" s="415" t="s">
        <v>344</v>
      </c>
      <c r="E62" s="415">
        <v>80</v>
      </c>
      <c r="F62" s="415" t="s">
        <v>387</v>
      </c>
      <c r="G62" s="415">
        <v>33</v>
      </c>
      <c r="H62" s="415" t="s">
        <v>350</v>
      </c>
      <c r="I62" s="415" t="s">
        <v>388</v>
      </c>
      <c r="J62" s="415" t="s">
        <v>348</v>
      </c>
      <c r="K62" s="415">
        <v>8070312</v>
      </c>
      <c r="L62" s="41">
        <f>VLOOKUP(K62,WebPosting!$B$6:$B$561,1,FALSE)</f>
        <v>8070312</v>
      </c>
      <c r="M62" s="46">
        <f>(($V62*1000)*(IFERROR($T62-WebPosting!$K$1,"0")))</f>
        <v>0</v>
      </c>
      <c r="N62" s="43">
        <f t="shared" si="0"/>
        <v>0.4556904</v>
      </c>
      <c r="O62" s="416" t="s">
        <v>672</v>
      </c>
      <c r="P62" s="416" t="s">
        <v>695</v>
      </c>
      <c r="Q62" s="416" t="s">
        <v>371</v>
      </c>
      <c r="R62" s="417">
        <v>39630</v>
      </c>
      <c r="S62" s="416" t="s">
        <v>696</v>
      </c>
      <c r="T62" s="416" t="s">
        <v>696</v>
      </c>
      <c r="U62" s="416">
        <v>1.0823999999999999E-4</v>
      </c>
      <c r="V62" s="416">
        <v>421</v>
      </c>
      <c r="W62" s="419">
        <v>421389.99</v>
      </c>
      <c r="X62" s="416" t="s">
        <v>666</v>
      </c>
      <c r="Y62" s="416" t="s">
        <v>697</v>
      </c>
      <c r="Z62" s="416" t="s">
        <v>664</v>
      </c>
      <c r="AA62" s="416" t="s">
        <v>665</v>
      </c>
      <c r="AB62" s="416" t="s">
        <v>666</v>
      </c>
      <c r="AC62" s="416" t="s">
        <v>666</v>
      </c>
      <c r="AG62" s="53"/>
      <c r="AH62" s="54"/>
    </row>
    <row r="63" spans="1:34">
      <c r="A63" s="415">
        <v>2</v>
      </c>
      <c r="B63" s="415" t="s">
        <v>343</v>
      </c>
      <c r="C63" s="415">
        <v>40</v>
      </c>
      <c r="D63" s="415" t="s">
        <v>344</v>
      </c>
      <c r="E63" s="415">
        <v>81</v>
      </c>
      <c r="F63" s="415" t="s">
        <v>389</v>
      </c>
      <c r="G63" s="415">
        <v>15</v>
      </c>
      <c r="H63" s="415" t="s">
        <v>390</v>
      </c>
      <c r="I63" s="415" t="s">
        <v>391</v>
      </c>
      <c r="J63" s="415" t="s">
        <v>392</v>
      </c>
      <c r="K63" s="415">
        <v>8092307</v>
      </c>
      <c r="L63" s="41" t="e">
        <f>VLOOKUP(K63,WebPosting!$B$6:$B$561,1,FALSE)</f>
        <v>#N/A</v>
      </c>
      <c r="M63" s="46">
        <f>(($V63*1000)*(IFERROR($T63-WebPosting!$K$1,"0")))</f>
        <v>0</v>
      </c>
      <c r="N63" s="43">
        <f t="shared" si="0"/>
        <v>0</v>
      </c>
      <c r="O63" s="416" t="s">
        <v>672</v>
      </c>
      <c r="P63" s="416" t="s">
        <v>671</v>
      </c>
      <c r="Q63" s="416" t="s">
        <v>390</v>
      </c>
      <c r="R63" s="417">
        <v>39714</v>
      </c>
      <c r="S63" s="416" t="s">
        <v>696</v>
      </c>
      <c r="T63" s="416" t="s">
        <v>696</v>
      </c>
      <c r="U63" s="416">
        <v>1.0823999999999999E-4</v>
      </c>
      <c r="V63" s="416"/>
      <c r="W63" s="416">
        <v>0</v>
      </c>
      <c r="X63" s="416" t="s">
        <v>666</v>
      </c>
      <c r="Y63" s="416" t="s">
        <v>697</v>
      </c>
      <c r="Z63" s="416" t="s">
        <v>664</v>
      </c>
      <c r="AA63" s="416" t="s">
        <v>665</v>
      </c>
      <c r="AB63" s="416" t="s">
        <v>666</v>
      </c>
      <c r="AC63" s="416" t="s">
        <v>666</v>
      </c>
    </row>
    <row r="64" spans="1:34">
      <c r="A64" s="415">
        <v>2</v>
      </c>
      <c r="B64" s="415" t="s">
        <v>343</v>
      </c>
      <c r="C64" s="415">
        <v>40</v>
      </c>
      <c r="D64" s="415" t="s">
        <v>344</v>
      </c>
      <c r="E64" s="415">
        <v>82</v>
      </c>
      <c r="F64" s="415" t="s">
        <v>393</v>
      </c>
      <c r="G64" s="415">
        <v>33</v>
      </c>
      <c r="H64" s="415" t="s">
        <v>350</v>
      </c>
      <c r="I64" s="415" t="s">
        <v>394</v>
      </c>
      <c r="J64" s="415" t="s">
        <v>395</v>
      </c>
      <c r="K64" s="415">
        <v>8070313</v>
      </c>
      <c r="L64" s="41">
        <f>VLOOKUP(K64,WebPosting!$B$6:$B$561,1,FALSE)</f>
        <v>8070313</v>
      </c>
      <c r="M64" s="46">
        <f>(($V64*1000)*(IFERROR($T64-WebPosting!$K$1,"0")))</f>
        <v>0</v>
      </c>
      <c r="N64" s="43">
        <f t="shared" si="0"/>
        <v>9.5958710199999988</v>
      </c>
      <c r="O64" s="416" t="s">
        <v>672</v>
      </c>
      <c r="P64" s="416" t="s">
        <v>695</v>
      </c>
      <c r="Q64" s="416" t="s">
        <v>371</v>
      </c>
      <c r="R64" s="417">
        <v>39630</v>
      </c>
      <c r="S64" s="416" t="s">
        <v>696</v>
      </c>
      <c r="T64" s="416" t="s">
        <v>696</v>
      </c>
      <c r="U64" s="416">
        <v>1.4668099999999999E-4</v>
      </c>
      <c r="V64" s="418">
        <v>6542</v>
      </c>
      <c r="W64" s="419">
        <v>6541511.9400000004</v>
      </c>
      <c r="X64" s="416" t="s">
        <v>666</v>
      </c>
      <c r="Y64" s="416" t="s">
        <v>697</v>
      </c>
      <c r="Z64" s="416" t="s">
        <v>664</v>
      </c>
      <c r="AA64" s="416" t="s">
        <v>665</v>
      </c>
      <c r="AB64" s="416" t="s">
        <v>666</v>
      </c>
      <c r="AC64" s="416" t="s">
        <v>666</v>
      </c>
      <c r="AG64" s="53"/>
      <c r="AH64" s="54"/>
    </row>
    <row r="65" spans="1:34">
      <c r="A65" s="415">
        <v>2</v>
      </c>
      <c r="B65" s="415" t="s">
        <v>343</v>
      </c>
      <c r="C65" s="415">
        <v>40</v>
      </c>
      <c r="D65" s="415" t="s">
        <v>344</v>
      </c>
      <c r="E65" s="415">
        <v>83</v>
      </c>
      <c r="F65" s="415" t="s">
        <v>396</v>
      </c>
      <c r="G65" s="415">
        <v>15</v>
      </c>
      <c r="H65" s="415" t="s">
        <v>390</v>
      </c>
      <c r="I65" s="415" t="s">
        <v>397</v>
      </c>
      <c r="J65" s="415" t="s">
        <v>398</v>
      </c>
      <c r="K65" s="415">
        <v>8092306</v>
      </c>
      <c r="L65" s="41" t="e">
        <f>VLOOKUP(K65,WebPosting!$B$6:$B$561,1,FALSE)</f>
        <v>#N/A</v>
      </c>
      <c r="M65" s="46">
        <f>(($V65*1000)*(IFERROR($T65-WebPosting!$K$1,"0")))</f>
        <v>0</v>
      </c>
      <c r="N65" s="43">
        <f t="shared" si="0"/>
        <v>0</v>
      </c>
      <c r="O65" s="416" t="s">
        <v>672</v>
      </c>
      <c r="P65" s="416" t="s">
        <v>671</v>
      </c>
      <c r="Q65" s="416" t="s">
        <v>390</v>
      </c>
      <c r="R65" s="417">
        <v>39714</v>
      </c>
      <c r="S65" s="416" t="s">
        <v>696</v>
      </c>
      <c r="T65" s="416" t="s">
        <v>696</v>
      </c>
      <c r="U65" s="416">
        <v>1.0823999999999999E-4</v>
      </c>
      <c r="V65" s="416"/>
      <c r="W65" s="416">
        <v>0</v>
      </c>
      <c r="X65" s="416" t="s">
        <v>666</v>
      </c>
      <c r="Y65" s="416" t="s">
        <v>697</v>
      </c>
      <c r="Z65" s="416" t="s">
        <v>664</v>
      </c>
      <c r="AA65" s="416" t="s">
        <v>665</v>
      </c>
      <c r="AB65" s="416" t="s">
        <v>666</v>
      </c>
      <c r="AC65" s="416" t="s">
        <v>666</v>
      </c>
    </row>
    <row r="66" spans="1:34">
      <c r="A66" s="415">
        <v>2</v>
      </c>
      <c r="B66" s="415" t="s">
        <v>343</v>
      </c>
      <c r="C66" s="415">
        <v>40</v>
      </c>
      <c r="D66" s="415" t="s">
        <v>344</v>
      </c>
      <c r="E66" s="415">
        <v>85</v>
      </c>
      <c r="F66" s="415" t="s">
        <v>399</v>
      </c>
      <c r="G66" s="415">
        <v>36</v>
      </c>
      <c r="H66" s="415" t="s">
        <v>371</v>
      </c>
      <c r="I66" s="415" t="s">
        <v>400</v>
      </c>
      <c r="J66" s="415" t="s">
        <v>361</v>
      </c>
      <c r="K66" s="415">
        <v>8070314</v>
      </c>
      <c r="L66" s="41" t="e">
        <f>VLOOKUP(K66,WebPosting!$B$6:$B$561,1,FALSE)</f>
        <v>#N/A</v>
      </c>
      <c r="M66" s="46">
        <f>(($V66*1000)*(IFERROR($T66-WebPosting!$K$1,"0")))</f>
        <v>0</v>
      </c>
      <c r="N66" s="43">
        <f t="shared" si="0"/>
        <v>0</v>
      </c>
      <c r="O66" s="416" t="s">
        <v>672</v>
      </c>
      <c r="P66" s="416" t="s">
        <v>695</v>
      </c>
      <c r="Q66" s="416" t="s">
        <v>371</v>
      </c>
      <c r="R66" s="417">
        <v>39630</v>
      </c>
      <c r="S66" s="416" t="s">
        <v>696</v>
      </c>
      <c r="T66" s="416" t="s">
        <v>696</v>
      </c>
      <c r="U66" s="416">
        <v>1.3085709999999999E-4</v>
      </c>
      <c r="V66" s="416"/>
      <c r="W66" s="416">
        <v>0</v>
      </c>
      <c r="X66" s="416" t="s">
        <v>666</v>
      </c>
      <c r="Y66" s="416" t="s">
        <v>697</v>
      </c>
      <c r="Z66" s="416" t="s">
        <v>664</v>
      </c>
      <c r="AA66" s="416" t="s">
        <v>665</v>
      </c>
      <c r="AB66" s="416" t="s">
        <v>666</v>
      </c>
      <c r="AC66" s="416" t="s">
        <v>666</v>
      </c>
    </row>
    <row r="67" spans="1:34">
      <c r="A67" s="415">
        <v>2</v>
      </c>
      <c r="B67" s="415" t="s">
        <v>343</v>
      </c>
      <c r="C67" s="415">
        <v>40</v>
      </c>
      <c r="D67" s="415" t="s">
        <v>344</v>
      </c>
      <c r="E67" s="415">
        <v>86</v>
      </c>
      <c r="F67" s="415" t="s">
        <v>401</v>
      </c>
      <c r="G67" s="415">
        <v>33</v>
      </c>
      <c r="H67" s="415" t="s">
        <v>350</v>
      </c>
      <c r="I67" s="415" t="s">
        <v>402</v>
      </c>
      <c r="J67" s="415" t="s">
        <v>348</v>
      </c>
      <c r="K67" s="415">
        <v>8070325</v>
      </c>
      <c r="L67" s="41">
        <f>VLOOKUP(K67,WebPosting!$B$6:$B$561,1,FALSE)</f>
        <v>8070325</v>
      </c>
      <c r="M67" s="46">
        <f>(($V67*1000)*(IFERROR($T67-WebPosting!$K$1,"0")))</f>
        <v>0</v>
      </c>
      <c r="N67" s="43">
        <f t="shared" ref="N67:N130" si="1">($U67%*($V67*1000))</f>
        <v>6.8007191999999996</v>
      </c>
      <c r="O67" s="416" t="s">
        <v>672</v>
      </c>
      <c r="P67" s="416" t="s">
        <v>695</v>
      </c>
      <c r="Q67" s="416" t="s">
        <v>371</v>
      </c>
      <c r="R67" s="417">
        <v>39630</v>
      </c>
      <c r="S67" s="416" t="s">
        <v>696</v>
      </c>
      <c r="T67" s="416" t="s">
        <v>696</v>
      </c>
      <c r="U67" s="416">
        <v>1.0823999999999999E-4</v>
      </c>
      <c r="V67" s="418">
        <v>6283</v>
      </c>
      <c r="W67" s="419">
        <v>6282845.4900000002</v>
      </c>
      <c r="X67" s="416" t="s">
        <v>666</v>
      </c>
      <c r="Y67" s="416" t="s">
        <v>697</v>
      </c>
      <c r="Z67" s="416" t="s">
        <v>664</v>
      </c>
      <c r="AA67" s="416" t="s">
        <v>665</v>
      </c>
      <c r="AB67" s="416" t="s">
        <v>666</v>
      </c>
      <c r="AC67" s="416" t="s">
        <v>666</v>
      </c>
      <c r="AG67" s="53"/>
      <c r="AH67" s="54"/>
    </row>
    <row r="68" spans="1:34">
      <c r="A68" s="415">
        <v>2</v>
      </c>
      <c r="B68" s="415" t="s">
        <v>343</v>
      </c>
      <c r="C68" s="415">
        <v>40</v>
      </c>
      <c r="D68" s="415" t="s">
        <v>344</v>
      </c>
      <c r="E68" s="415">
        <v>87</v>
      </c>
      <c r="F68" s="415" t="s">
        <v>403</v>
      </c>
      <c r="G68" s="415">
        <v>33</v>
      </c>
      <c r="H68" s="415" t="s">
        <v>371</v>
      </c>
      <c r="I68" s="415" t="s">
        <v>404</v>
      </c>
      <c r="J68" s="415" t="s">
        <v>337</v>
      </c>
      <c r="K68" s="415">
        <v>8070315</v>
      </c>
      <c r="L68" s="41">
        <f>VLOOKUP(K68,WebPosting!$B$6:$B$561,1,FALSE)</f>
        <v>8070315</v>
      </c>
      <c r="M68" s="46">
        <f>(($V68*1000)*(IFERROR($T68-WebPosting!$K$1,"0")))</f>
        <v>0</v>
      </c>
      <c r="N68" s="43">
        <f t="shared" si="1"/>
        <v>13.648395529999998</v>
      </c>
      <c r="O68" s="416" t="s">
        <v>672</v>
      </c>
      <c r="P68" s="416" t="s">
        <v>695</v>
      </c>
      <c r="Q68" s="416" t="s">
        <v>371</v>
      </c>
      <c r="R68" s="417">
        <v>39630</v>
      </c>
      <c r="S68" s="416" t="s">
        <v>696</v>
      </c>
      <c r="T68" s="416" t="s">
        <v>696</v>
      </c>
      <c r="U68" s="416">
        <v>1.3085709999999999E-4</v>
      </c>
      <c r="V68" s="418">
        <v>10430</v>
      </c>
      <c r="W68" s="419">
        <v>10429802.140000001</v>
      </c>
      <c r="X68" s="416" t="s">
        <v>666</v>
      </c>
      <c r="Y68" s="416" t="s">
        <v>697</v>
      </c>
      <c r="Z68" s="416" t="s">
        <v>664</v>
      </c>
      <c r="AA68" s="416" t="s">
        <v>665</v>
      </c>
      <c r="AB68" s="416" t="s">
        <v>666</v>
      </c>
      <c r="AC68" s="416" t="s">
        <v>666</v>
      </c>
    </row>
    <row r="69" spans="1:34">
      <c r="A69" s="415">
        <v>2</v>
      </c>
      <c r="B69" s="415" t="s">
        <v>343</v>
      </c>
      <c r="C69" s="415">
        <v>40</v>
      </c>
      <c r="D69" s="415" t="s">
        <v>344</v>
      </c>
      <c r="E69" s="415">
        <v>88</v>
      </c>
      <c r="F69" s="415" t="s">
        <v>405</v>
      </c>
      <c r="G69" s="415">
        <v>15</v>
      </c>
      <c r="H69" s="415" t="s">
        <v>346</v>
      </c>
      <c r="I69" s="415" t="s">
        <v>406</v>
      </c>
      <c r="J69" s="415" t="s">
        <v>407</v>
      </c>
      <c r="K69" s="415">
        <v>8070301</v>
      </c>
      <c r="L69" s="41">
        <f>VLOOKUP(K69,WebPosting!$B$6:$B$561,1,FALSE)</f>
        <v>8070301</v>
      </c>
      <c r="M69" s="46">
        <f>(($V69*1000)*(IFERROR($T69-WebPosting!$K$1,"0")))</f>
        <v>0</v>
      </c>
      <c r="N69" s="43">
        <f t="shared" si="1"/>
        <v>155</v>
      </c>
      <c r="O69" s="416" t="s">
        <v>672</v>
      </c>
      <c r="P69" s="416" t="s">
        <v>695</v>
      </c>
      <c r="Q69" s="416" t="s">
        <v>371</v>
      </c>
      <c r="R69" s="417">
        <v>39630</v>
      </c>
      <c r="S69" s="416" t="s">
        <v>696</v>
      </c>
      <c r="T69" s="416" t="s">
        <v>696</v>
      </c>
      <c r="U69" s="416">
        <v>1E-4</v>
      </c>
      <c r="V69" s="418">
        <v>155000</v>
      </c>
      <c r="W69" s="419">
        <v>155000000</v>
      </c>
      <c r="X69" s="416" t="s">
        <v>666</v>
      </c>
      <c r="Y69" s="416" t="s">
        <v>697</v>
      </c>
      <c r="Z69" s="416" t="s">
        <v>664</v>
      </c>
      <c r="AA69" s="416" t="s">
        <v>665</v>
      </c>
      <c r="AB69" s="416" t="s">
        <v>666</v>
      </c>
      <c r="AC69" s="416" t="s">
        <v>666</v>
      </c>
      <c r="AG69" s="53"/>
      <c r="AH69" s="54"/>
    </row>
    <row r="70" spans="1:34">
      <c r="A70" s="415">
        <v>2</v>
      </c>
      <c r="B70" s="415" t="s">
        <v>343</v>
      </c>
      <c r="C70" s="415">
        <v>40</v>
      </c>
      <c r="D70" s="415" t="s">
        <v>344</v>
      </c>
      <c r="E70" s="415">
        <v>89</v>
      </c>
      <c r="F70" s="415" t="s">
        <v>408</v>
      </c>
      <c r="G70" s="415">
        <v>33</v>
      </c>
      <c r="H70" s="415" t="s">
        <v>350</v>
      </c>
      <c r="I70" s="415" t="s">
        <v>409</v>
      </c>
      <c r="J70" s="415" t="s">
        <v>348</v>
      </c>
      <c r="K70" s="415">
        <v>8070304</v>
      </c>
      <c r="L70" s="41">
        <f>VLOOKUP(K70,WebPosting!$B$6:$B$561,1,FALSE)</f>
        <v>8070304</v>
      </c>
      <c r="M70" s="46">
        <f>(($V70*1000)*(IFERROR($T70-WebPosting!$K$1,"0")))</f>
        <v>0</v>
      </c>
      <c r="N70" s="43">
        <f t="shared" si="1"/>
        <v>4.7917848000000003</v>
      </c>
      <c r="O70" s="416" t="s">
        <v>672</v>
      </c>
      <c r="P70" s="416" t="s">
        <v>695</v>
      </c>
      <c r="Q70" s="416" t="s">
        <v>371</v>
      </c>
      <c r="R70" s="417">
        <v>39630</v>
      </c>
      <c r="S70" s="416" t="s">
        <v>696</v>
      </c>
      <c r="T70" s="416" t="s">
        <v>696</v>
      </c>
      <c r="U70" s="416">
        <v>1.0823999999999999E-4</v>
      </c>
      <c r="V70" s="418">
        <v>4427</v>
      </c>
      <c r="W70" s="419">
        <v>4426521.58</v>
      </c>
      <c r="X70" s="416" t="s">
        <v>666</v>
      </c>
      <c r="Y70" s="416" t="s">
        <v>697</v>
      </c>
      <c r="Z70" s="416" t="s">
        <v>664</v>
      </c>
      <c r="AA70" s="416" t="s">
        <v>665</v>
      </c>
      <c r="AB70" s="416" t="s">
        <v>666</v>
      </c>
      <c r="AC70" s="416" t="s">
        <v>666</v>
      </c>
    </row>
    <row r="71" spans="1:34">
      <c r="A71" s="415">
        <v>2</v>
      </c>
      <c r="B71" s="415" t="s">
        <v>343</v>
      </c>
      <c r="C71" s="415">
        <v>40</v>
      </c>
      <c r="D71" s="415" t="s">
        <v>344</v>
      </c>
      <c r="E71" s="415">
        <v>90</v>
      </c>
      <c r="F71" s="415" t="s">
        <v>410</v>
      </c>
      <c r="G71" s="415">
        <v>36</v>
      </c>
      <c r="H71" s="415" t="s">
        <v>411</v>
      </c>
      <c r="I71" s="415" t="s">
        <v>412</v>
      </c>
      <c r="J71" s="415" t="s">
        <v>413</v>
      </c>
      <c r="K71" s="415">
        <v>8070318</v>
      </c>
      <c r="L71" s="41">
        <f>VLOOKUP(K71,WebPosting!$B$6:$B$561,1,FALSE)</f>
        <v>8070318</v>
      </c>
      <c r="M71" s="46">
        <f>(($V71*1000)*(IFERROR($T71-WebPosting!$K$1,"0")))</f>
        <v>0</v>
      </c>
      <c r="N71" s="43">
        <f t="shared" si="1"/>
        <v>104.17775280000001</v>
      </c>
      <c r="O71" s="416" t="s">
        <v>672</v>
      </c>
      <c r="P71" s="416" t="s">
        <v>671</v>
      </c>
      <c r="Q71" s="416" t="s">
        <v>390</v>
      </c>
      <c r="R71" s="417">
        <v>39630</v>
      </c>
      <c r="S71" s="416" t="s">
        <v>696</v>
      </c>
      <c r="T71" s="416" t="s">
        <v>696</v>
      </c>
      <c r="U71" s="416">
        <v>1.0823999999999999E-4</v>
      </c>
      <c r="V71" s="418">
        <v>96247</v>
      </c>
      <c r="W71" s="419">
        <v>96246883.420000002</v>
      </c>
      <c r="X71" s="416" t="s">
        <v>666</v>
      </c>
      <c r="Y71" s="416" t="s">
        <v>697</v>
      </c>
      <c r="Z71" s="416" t="s">
        <v>664</v>
      </c>
      <c r="AA71" s="416" t="s">
        <v>665</v>
      </c>
      <c r="AB71" s="416" t="s">
        <v>666</v>
      </c>
      <c r="AC71" s="416" t="s">
        <v>666</v>
      </c>
      <c r="AG71" s="53"/>
      <c r="AH71" s="54"/>
    </row>
    <row r="72" spans="1:34">
      <c r="A72" s="415">
        <v>2</v>
      </c>
      <c r="B72" s="415" t="s">
        <v>343</v>
      </c>
      <c r="C72" s="415">
        <v>40</v>
      </c>
      <c r="D72" s="415" t="s">
        <v>344</v>
      </c>
      <c r="E72" s="415">
        <v>91</v>
      </c>
      <c r="F72" s="415" t="s">
        <v>414</v>
      </c>
      <c r="G72" s="415">
        <v>36</v>
      </c>
      <c r="H72" s="415" t="s">
        <v>371</v>
      </c>
      <c r="I72" s="415" t="s">
        <v>415</v>
      </c>
      <c r="J72" s="415" t="s">
        <v>416</v>
      </c>
      <c r="K72" s="415">
        <v>8070307</v>
      </c>
      <c r="L72" s="41" t="e">
        <f>VLOOKUP(K72,WebPosting!$B$6:$B$561,1,FALSE)</f>
        <v>#N/A</v>
      </c>
      <c r="M72" s="46">
        <f>(($V72*1000)*(IFERROR($T72-WebPosting!$K$1,"0")))</f>
        <v>0</v>
      </c>
      <c r="N72" s="43">
        <f t="shared" si="1"/>
        <v>0</v>
      </c>
      <c r="O72" s="416" t="s">
        <v>672</v>
      </c>
      <c r="P72" s="416" t="s">
        <v>695</v>
      </c>
      <c r="Q72" s="416" t="s">
        <v>371</v>
      </c>
      <c r="R72" s="417">
        <v>39630</v>
      </c>
      <c r="S72" s="416" t="s">
        <v>696</v>
      </c>
      <c r="T72" s="416" t="s">
        <v>696</v>
      </c>
      <c r="U72" s="416">
        <v>1.0823999999999999E-4</v>
      </c>
      <c r="V72" s="416"/>
      <c r="W72" s="416">
        <v>0</v>
      </c>
      <c r="X72" s="416" t="s">
        <v>666</v>
      </c>
      <c r="Y72" s="416" t="s">
        <v>697</v>
      </c>
      <c r="Z72" s="416" t="s">
        <v>664</v>
      </c>
      <c r="AA72" s="416" t="s">
        <v>665</v>
      </c>
      <c r="AB72" s="416" t="s">
        <v>666</v>
      </c>
      <c r="AC72" s="416" t="s">
        <v>666</v>
      </c>
    </row>
    <row r="73" spans="1:34">
      <c r="A73" s="415">
        <v>2</v>
      </c>
      <c r="B73" s="415" t="s">
        <v>343</v>
      </c>
      <c r="C73" s="415">
        <v>40</v>
      </c>
      <c r="D73" s="415" t="s">
        <v>344</v>
      </c>
      <c r="E73" s="415">
        <v>92</v>
      </c>
      <c r="F73" s="415" t="s">
        <v>417</v>
      </c>
      <c r="G73" s="415">
        <v>36</v>
      </c>
      <c r="H73" s="415" t="s">
        <v>418</v>
      </c>
      <c r="I73" s="415" t="s">
        <v>419</v>
      </c>
      <c r="J73" s="415" t="s">
        <v>420</v>
      </c>
      <c r="K73" s="415">
        <v>8070320</v>
      </c>
      <c r="L73" s="41" t="e">
        <f>VLOOKUP(K73,WebPosting!$B$6:$B$561,1,FALSE)</f>
        <v>#N/A</v>
      </c>
      <c r="M73" s="46">
        <f>(($V73*1000)*(IFERROR($T73-WebPosting!$K$1,"0")))</f>
        <v>0</v>
      </c>
      <c r="N73" s="43">
        <f t="shared" si="1"/>
        <v>0</v>
      </c>
      <c r="O73" s="416" t="s">
        <v>672</v>
      </c>
      <c r="P73" s="416" t="s">
        <v>695</v>
      </c>
      <c r="Q73" s="416" t="s">
        <v>371</v>
      </c>
      <c r="R73" s="417">
        <v>39630</v>
      </c>
      <c r="S73" s="416" t="s">
        <v>696</v>
      </c>
      <c r="T73" s="416" t="s">
        <v>696</v>
      </c>
      <c r="U73" s="416">
        <v>1.0823999999999999E-4</v>
      </c>
      <c r="V73" s="416"/>
      <c r="W73" s="416">
        <v>0</v>
      </c>
      <c r="X73" s="416" t="s">
        <v>666</v>
      </c>
      <c r="Y73" s="416" t="s">
        <v>697</v>
      </c>
      <c r="Z73" s="416" t="s">
        <v>664</v>
      </c>
      <c r="AA73" s="416" t="s">
        <v>665</v>
      </c>
      <c r="AB73" s="416" t="s">
        <v>666</v>
      </c>
      <c r="AC73" s="416" t="s">
        <v>666</v>
      </c>
      <c r="AG73" s="53"/>
      <c r="AH73" s="54"/>
    </row>
    <row r="74" spans="1:34">
      <c r="A74" s="415">
        <v>2</v>
      </c>
      <c r="B74" s="415" t="s">
        <v>343</v>
      </c>
      <c r="C74" s="415">
        <v>40</v>
      </c>
      <c r="D74" s="415" t="s">
        <v>344</v>
      </c>
      <c r="E74" s="415">
        <v>93</v>
      </c>
      <c r="F74" s="415" t="s">
        <v>421</v>
      </c>
      <c r="G74" s="415">
        <v>15</v>
      </c>
      <c r="H74" s="415" t="s">
        <v>390</v>
      </c>
      <c r="I74" s="415" t="s">
        <v>422</v>
      </c>
      <c r="J74" s="415" t="s">
        <v>423</v>
      </c>
      <c r="K74" s="415">
        <v>8080611</v>
      </c>
      <c r="L74" s="41">
        <f>VLOOKUP(K74,WebPosting!$B$6:$B$561,1,FALSE)</f>
        <v>8080611</v>
      </c>
      <c r="M74" s="46">
        <f>(($V74*1000)*(IFERROR($T74-WebPosting!$K$1,"0")))</f>
        <v>0</v>
      </c>
      <c r="N74" s="43">
        <f t="shared" si="1"/>
        <v>0</v>
      </c>
      <c r="O74" s="416" t="s">
        <v>672</v>
      </c>
      <c r="P74" s="416" t="s">
        <v>671</v>
      </c>
      <c r="Q74" s="416" t="s">
        <v>390</v>
      </c>
      <c r="R74" s="417">
        <v>39640</v>
      </c>
      <c r="S74" s="416" t="s">
        <v>696</v>
      </c>
      <c r="T74" s="416" t="s">
        <v>696</v>
      </c>
      <c r="U74" s="416">
        <v>1.0823999999999999E-4</v>
      </c>
      <c r="V74" s="416"/>
      <c r="W74" s="416">
        <v>0</v>
      </c>
      <c r="X74" s="416" t="s">
        <v>666</v>
      </c>
      <c r="Y74" s="416" t="s">
        <v>697</v>
      </c>
      <c r="Z74" s="416" t="s">
        <v>664</v>
      </c>
      <c r="AA74" s="416" t="s">
        <v>665</v>
      </c>
      <c r="AB74" s="416" t="s">
        <v>666</v>
      </c>
      <c r="AC74" s="416" t="s">
        <v>666</v>
      </c>
    </row>
    <row r="75" spans="1:34">
      <c r="A75" s="415">
        <v>2</v>
      </c>
      <c r="B75" s="415" t="s">
        <v>343</v>
      </c>
      <c r="C75" s="415">
        <v>40</v>
      </c>
      <c r="D75" s="415" t="s">
        <v>344</v>
      </c>
      <c r="E75" s="415">
        <v>95</v>
      </c>
      <c r="F75" s="415" t="s">
        <v>424</v>
      </c>
      <c r="G75" s="415">
        <v>36</v>
      </c>
      <c r="H75" s="415" t="s">
        <v>418</v>
      </c>
      <c r="I75" s="415" t="s">
        <v>425</v>
      </c>
      <c r="J75" s="415" t="s">
        <v>348</v>
      </c>
      <c r="K75" s="415">
        <v>8070322</v>
      </c>
      <c r="L75" s="41">
        <f>VLOOKUP(K75,WebPosting!$B$6:$B$561,1,FALSE)</f>
        <v>8070322</v>
      </c>
      <c r="M75" s="46">
        <f>(($V75*1000)*(IFERROR($T75-WebPosting!$K$1,"0")))</f>
        <v>0</v>
      </c>
      <c r="N75" s="43">
        <f t="shared" si="1"/>
        <v>2.1648000000000001E-3</v>
      </c>
      <c r="O75" s="416" t="s">
        <v>672</v>
      </c>
      <c r="P75" s="416" t="s">
        <v>695</v>
      </c>
      <c r="Q75" s="416" t="s">
        <v>371</v>
      </c>
      <c r="R75" s="417">
        <v>39630</v>
      </c>
      <c r="S75" s="416" t="s">
        <v>696</v>
      </c>
      <c r="T75" s="416" t="s">
        <v>696</v>
      </c>
      <c r="U75" s="416">
        <v>1.0823999999999999E-4</v>
      </c>
      <c r="V75" s="416">
        <v>2</v>
      </c>
      <c r="W75" s="419">
        <v>2003.63</v>
      </c>
      <c r="X75" s="416" t="s">
        <v>666</v>
      </c>
      <c r="Y75" s="416" t="s">
        <v>697</v>
      </c>
      <c r="Z75" s="416" t="s">
        <v>664</v>
      </c>
      <c r="AA75" s="416" t="s">
        <v>665</v>
      </c>
      <c r="AB75" s="416" t="s">
        <v>666</v>
      </c>
      <c r="AC75" s="416" t="s">
        <v>666</v>
      </c>
      <c r="AH75" s="54"/>
    </row>
    <row r="76" spans="1:34">
      <c r="A76" s="415">
        <v>2</v>
      </c>
      <c r="B76" s="415" t="s">
        <v>343</v>
      </c>
      <c r="C76" s="415">
        <v>40</v>
      </c>
      <c r="D76" s="415" t="s">
        <v>344</v>
      </c>
      <c r="E76" s="415">
        <v>96</v>
      </c>
      <c r="F76" s="415" t="s">
        <v>426</v>
      </c>
      <c r="G76" s="415">
        <v>36</v>
      </c>
      <c r="H76" s="415" t="s">
        <v>371</v>
      </c>
      <c r="I76" s="415" t="s">
        <v>427</v>
      </c>
      <c r="J76" s="415" t="s">
        <v>348</v>
      </c>
      <c r="K76" s="415">
        <v>2071916</v>
      </c>
      <c r="L76" s="41" t="e">
        <f>VLOOKUP(K76,WebPosting!$B$6:$B$561,1,FALSE)</f>
        <v>#N/A</v>
      </c>
      <c r="M76" s="46">
        <f>(($V76*1000)*(IFERROR($T76-WebPosting!$K$1,"0")))</f>
        <v>0</v>
      </c>
      <c r="N76" s="43">
        <f t="shared" si="1"/>
        <v>0</v>
      </c>
      <c r="O76" s="416" t="s">
        <v>672</v>
      </c>
      <c r="P76" s="416" t="s">
        <v>695</v>
      </c>
      <c r="Q76" s="416" t="s">
        <v>371</v>
      </c>
      <c r="R76" s="417">
        <v>37455</v>
      </c>
      <c r="S76" s="416" t="s">
        <v>696</v>
      </c>
      <c r="T76" s="416" t="s">
        <v>696</v>
      </c>
      <c r="U76" s="416">
        <v>1.0823999999999999E-4</v>
      </c>
      <c r="V76" s="416"/>
      <c r="W76" s="416">
        <v>0</v>
      </c>
      <c r="X76" s="416" t="s">
        <v>666</v>
      </c>
      <c r="Y76" s="416" t="s">
        <v>698</v>
      </c>
      <c r="Z76" s="416" t="s">
        <v>664</v>
      </c>
      <c r="AA76" s="416" t="s">
        <v>665</v>
      </c>
      <c r="AB76" s="416" t="s">
        <v>666</v>
      </c>
      <c r="AC76" s="416" t="s">
        <v>666</v>
      </c>
    </row>
    <row r="77" spans="1:34">
      <c r="A77" s="415">
        <v>2</v>
      </c>
      <c r="B77" s="415" t="s">
        <v>343</v>
      </c>
      <c r="C77" s="415">
        <v>40</v>
      </c>
      <c r="D77" s="415" t="s">
        <v>344</v>
      </c>
      <c r="E77" s="415">
        <v>96</v>
      </c>
      <c r="F77" s="415" t="s">
        <v>426</v>
      </c>
      <c r="G77" s="415">
        <v>36</v>
      </c>
      <c r="H77" s="415" t="s">
        <v>371</v>
      </c>
      <c r="I77" s="415" t="s">
        <v>427</v>
      </c>
      <c r="J77" s="415" t="s">
        <v>348</v>
      </c>
      <c r="K77" s="415">
        <v>8070308</v>
      </c>
      <c r="L77" s="41">
        <f>VLOOKUP(K77,WebPosting!$B$6:$B$561,1,FALSE)</f>
        <v>8070308</v>
      </c>
      <c r="M77" s="46">
        <f>(($V77*1000)*(IFERROR($T77-WebPosting!$K$1,"0")))</f>
        <v>0</v>
      </c>
      <c r="N77" s="43">
        <f t="shared" si="1"/>
        <v>222.476496</v>
      </c>
      <c r="O77" s="416" t="s">
        <v>672</v>
      </c>
      <c r="P77" s="416" t="s">
        <v>695</v>
      </c>
      <c r="Q77" s="416" t="s">
        <v>371</v>
      </c>
      <c r="R77" s="417">
        <v>39630</v>
      </c>
      <c r="S77" s="416" t="s">
        <v>696</v>
      </c>
      <c r="T77" s="416" t="s">
        <v>696</v>
      </c>
      <c r="U77" s="416">
        <v>1.0823999999999999E-4</v>
      </c>
      <c r="V77" s="418">
        <v>205540</v>
      </c>
      <c r="W77" s="419">
        <v>205540000</v>
      </c>
      <c r="X77" s="416" t="s">
        <v>666</v>
      </c>
      <c r="Y77" s="416" t="s">
        <v>697</v>
      </c>
      <c r="Z77" s="416" t="s">
        <v>664</v>
      </c>
      <c r="AA77" s="416" t="s">
        <v>665</v>
      </c>
      <c r="AB77" s="416" t="s">
        <v>666</v>
      </c>
      <c r="AC77" s="416" t="s">
        <v>666</v>
      </c>
    </row>
    <row r="78" spans="1:34">
      <c r="A78" s="415">
        <v>2</v>
      </c>
      <c r="B78" s="415" t="s">
        <v>343</v>
      </c>
      <c r="C78" s="415">
        <v>40</v>
      </c>
      <c r="D78" s="415" t="s">
        <v>344</v>
      </c>
      <c r="E78" s="415">
        <v>98</v>
      </c>
      <c r="F78" s="415" t="s">
        <v>428</v>
      </c>
      <c r="G78" s="415">
        <v>36</v>
      </c>
      <c r="H78" s="415" t="s">
        <v>418</v>
      </c>
      <c r="I78" s="415" t="s">
        <v>429</v>
      </c>
      <c r="J78" s="415" t="s">
        <v>337</v>
      </c>
      <c r="K78" s="415">
        <v>8070309</v>
      </c>
      <c r="L78" s="41">
        <f>VLOOKUP(K78,WebPosting!$B$6:$B$561,1,FALSE)</f>
        <v>8070309</v>
      </c>
      <c r="M78" s="46">
        <f>(($V78*1000)*(IFERROR($T78-WebPosting!$K$1,"0")))</f>
        <v>0</v>
      </c>
      <c r="N78" s="43">
        <f t="shared" si="1"/>
        <v>55.346359200000002</v>
      </c>
      <c r="O78" s="416" t="s">
        <v>672</v>
      </c>
      <c r="P78" s="416" t="s">
        <v>695</v>
      </c>
      <c r="Q78" s="416" t="s">
        <v>371</v>
      </c>
      <c r="R78" s="417">
        <v>39630</v>
      </c>
      <c r="S78" s="416" t="s">
        <v>696</v>
      </c>
      <c r="T78" s="416" t="s">
        <v>696</v>
      </c>
      <c r="U78" s="416">
        <v>1.0823999999999999E-4</v>
      </c>
      <c r="V78" s="418">
        <v>51133</v>
      </c>
      <c r="W78" s="419">
        <v>51132997.759999998</v>
      </c>
      <c r="X78" s="416" t="s">
        <v>666</v>
      </c>
      <c r="Y78" s="416" t="s">
        <v>697</v>
      </c>
      <c r="Z78" s="416" t="s">
        <v>664</v>
      </c>
      <c r="AA78" s="416" t="s">
        <v>665</v>
      </c>
      <c r="AB78" s="416" t="s">
        <v>666</v>
      </c>
      <c r="AC78" s="416" t="s">
        <v>666</v>
      </c>
      <c r="AH78" s="54"/>
    </row>
    <row r="79" spans="1:34">
      <c r="A79" s="415">
        <v>2</v>
      </c>
      <c r="B79" s="415" t="s">
        <v>343</v>
      </c>
      <c r="C79" s="415">
        <v>40</v>
      </c>
      <c r="D79" s="415" t="s">
        <v>344</v>
      </c>
      <c r="E79" s="415">
        <v>99</v>
      </c>
      <c r="F79" s="415" t="s">
        <v>430</v>
      </c>
      <c r="G79" s="415">
        <v>36</v>
      </c>
      <c r="H79" s="415" t="s">
        <v>350</v>
      </c>
      <c r="I79" s="415" t="s">
        <v>431</v>
      </c>
      <c r="J79" s="415" t="s">
        <v>432</v>
      </c>
      <c r="K79" s="415">
        <v>8070323</v>
      </c>
      <c r="L79" s="41">
        <f>VLOOKUP(K79,WebPosting!$B$6:$B$561,1,FALSE)</f>
        <v>8070323</v>
      </c>
      <c r="M79" s="46">
        <f>(($V79*1000)*(IFERROR($T79-WebPosting!$K$1,"0")))</f>
        <v>0</v>
      </c>
      <c r="N79" s="43">
        <f t="shared" si="1"/>
        <v>178.2128304</v>
      </c>
      <c r="O79" s="416" t="s">
        <v>672</v>
      </c>
      <c r="P79" s="416" t="s">
        <v>695</v>
      </c>
      <c r="Q79" s="416" t="s">
        <v>371</v>
      </c>
      <c r="R79" s="417">
        <v>39630</v>
      </c>
      <c r="S79" s="416" t="s">
        <v>696</v>
      </c>
      <c r="T79" s="416" t="s">
        <v>696</v>
      </c>
      <c r="U79" s="416">
        <v>1.0823999999999999E-4</v>
      </c>
      <c r="V79" s="418">
        <v>164646</v>
      </c>
      <c r="W79" s="419">
        <v>164645846.52000001</v>
      </c>
      <c r="X79" s="416" t="s">
        <v>666</v>
      </c>
      <c r="Y79" s="416" t="s">
        <v>697</v>
      </c>
      <c r="Z79" s="416" t="s">
        <v>664</v>
      </c>
      <c r="AA79" s="416" t="s">
        <v>665</v>
      </c>
      <c r="AB79" s="416" t="s">
        <v>666</v>
      </c>
      <c r="AC79" s="416" t="s">
        <v>666</v>
      </c>
    </row>
    <row r="80" spans="1:34">
      <c r="A80" s="415">
        <v>2</v>
      </c>
      <c r="B80" s="415" t="s">
        <v>343</v>
      </c>
      <c r="C80" s="415">
        <v>43</v>
      </c>
      <c r="D80" s="415" t="s">
        <v>433</v>
      </c>
      <c r="E80" s="415">
        <v>10</v>
      </c>
      <c r="F80" s="415" t="s">
        <v>434</v>
      </c>
      <c r="G80" s="415">
        <v>90</v>
      </c>
      <c r="H80" s="415" t="s">
        <v>435</v>
      </c>
      <c r="I80" s="415" t="s">
        <v>436</v>
      </c>
      <c r="J80" s="415" t="s">
        <v>437</v>
      </c>
      <c r="K80" s="415">
        <v>8111012</v>
      </c>
      <c r="L80" s="41">
        <f>VLOOKUP(K80,WebPosting!$B$6:$B$561,1,FALSE)</f>
        <v>8111012</v>
      </c>
      <c r="M80" s="46">
        <f>(($V80*1000)*(IFERROR($T80-WebPosting!$K$1,"0")))</f>
        <v>0</v>
      </c>
      <c r="N80" s="43">
        <f t="shared" si="1"/>
        <v>2400240</v>
      </c>
      <c r="O80" s="416" t="s">
        <v>672</v>
      </c>
      <c r="P80" s="416" t="s">
        <v>699</v>
      </c>
      <c r="Q80" s="416" t="s">
        <v>700</v>
      </c>
      <c r="R80" s="417">
        <v>39752</v>
      </c>
      <c r="S80" s="416" t="s">
        <v>696</v>
      </c>
      <c r="T80" s="416" t="s">
        <v>696</v>
      </c>
      <c r="U80" s="416">
        <v>2.4002400000000002</v>
      </c>
      <c r="V80" s="418">
        <v>100000</v>
      </c>
      <c r="W80" s="419">
        <v>100000000.02</v>
      </c>
      <c r="X80" s="416" t="s">
        <v>666</v>
      </c>
      <c r="Y80" s="416" t="s">
        <v>663</v>
      </c>
      <c r="Z80" s="416" t="s">
        <v>664</v>
      </c>
      <c r="AA80" s="416" t="s">
        <v>665</v>
      </c>
      <c r="AB80" s="416" t="s">
        <v>666</v>
      </c>
      <c r="AC80" s="416" t="s">
        <v>666</v>
      </c>
      <c r="AG80" s="53"/>
      <c r="AH80" s="54"/>
    </row>
    <row r="81" spans="1:34">
      <c r="A81" s="415">
        <v>2</v>
      </c>
      <c r="B81" s="415" t="s">
        <v>343</v>
      </c>
      <c r="C81" s="415">
        <v>44</v>
      </c>
      <c r="D81" s="415" t="s">
        <v>438</v>
      </c>
      <c r="E81" s="415">
        <v>10</v>
      </c>
      <c r="F81" s="415" t="s">
        <v>439</v>
      </c>
      <c r="G81" s="415">
        <v>90</v>
      </c>
      <c r="H81" s="415" t="s">
        <v>440</v>
      </c>
      <c r="I81" s="415" t="s">
        <v>441</v>
      </c>
      <c r="J81" s="415" t="s">
        <v>442</v>
      </c>
      <c r="K81" s="415">
        <v>9010612</v>
      </c>
      <c r="L81" s="41" t="e">
        <f>VLOOKUP(K81,WebPosting!$B$6:$B$561,1,FALSE)</f>
        <v>#N/A</v>
      </c>
      <c r="M81" s="46">
        <f>(($V81*1000)*(IFERROR($T81-WebPosting!$K$1,"0")))</f>
        <v>0</v>
      </c>
      <c r="N81" s="43">
        <f t="shared" si="1"/>
        <v>0</v>
      </c>
      <c r="O81" s="416" t="s">
        <v>672</v>
      </c>
      <c r="P81" s="416" t="s">
        <v>699</v>
      </c>
      <c r="Q81" s="416" t="s">
        <v>700</v>
      </c>
      <c r="R81" s="417">
        <v>39813</v>
      </c>
      <c r="S81" s="416" t="s">
        <v>696</v>
      </c>
      <c r="T81" s="416" t="s">
        <v>696</v>
      </c>
      <c r="U81" s="416">
        <v>2.4002400000000002</v>
      </c>
      <c r="V81" s="416"/>
      <c r="W81" s="416">
        <v>0</v>
      </c>
      <c r="X81" s="416" t="s">
        <v>666</v>
      </c>
      <c r="Y81" s="416" t="s">
        <v>663</v>
      </c>
      <c r="Z81" s="416" t="s">
        <v>664</v>
      </c>
      <c r="AA81" s="416" t="s">
        <v>665</v>
      </c>
      <c r="AB81" s="416" t="s">
        <v>666</v>
      </c>
      <c r="AC81" s="416" t="s">
        <v>666</v>
      </c>
    </row>
    <row r="82" spans="1:34">
      <c r="A82" s="415">
        <v>2</v>
      </c>
      <c r="B82" s="415" t="s">
        <v>343</v>
      </c>
      <c r="C82" s="415">
        <v>45</v>
      </c>
      <c r="D82" s="415" t="s">
        <v>443</v>
      </c>
      <c r="E82" s="415">
        <v>10</v>
      </c>
      <c r="F82" s="415" t="s">
        <v>444</v>
      </c>
      <c r="G82" s="415">
        <v>90</v>
      </c>
      <c r="H82" s="415" t="s">
        <v>435</v>
      </c>
      <c r="I82" s="415" t="s">
        <v>445</v>
      </c>
      <c r="J82" s="415" t="s">
        <v>446</v>
      </c>
      <c r="K82" s="415">
        <v>8011811</v>
      </c>
      <c r="L82" s="41">
        <f>VLOOKUP(K82,WebPosting!$B$6:$B$561,1,FALSE)</f>
        <v>8011811</v>
      </c>
      <c r="M82" s="46">
        <f>(($V82*1000)*(IFERROR($T82-WebPosting!$K$1,"0")))</f>
        <v>0</v>
      </c>
      <c r="N82" s="43">
        <f t="shared" si="1"/>
        <v>446593.75848000008</v>
      </c>
      <c r="O82" s="416" t="s">
        <v>672</v>
      </c>
      <c r="P82" s="416" t="s">
        <v>699</v>
      </c>
      <c r="Q82" s="416" t="s">
        <v>700</v>
      </c>
      <c r="R82" s="417">
        <v>39461</v>
      </c>
      <c r="S82" s="416" t="s">
        <v>696</v>
      </c>
      <c r="T82" s="416" t="s">
        <v>696</v>
      </c>
      <c r="U82" s="416">
        <v>0.22064800000000001</v>
      </c>
      <c r="V82" s="418">
        <v>202401</v>
      </c>
      <c r="W82" s="419">
        <v>202401250.02000001</v>
      </c>
      <c r="X82" s="416" t="s">
        <v>666</v>
      </c>
      <c r="Y82" s="416" t="s">
        <v>663</v>
      </c>
      <c r="Z82" s="416" t="s">
        <v>664</v>
      </c>
      <c r="AA82" s="416" t="s">
        <v>665</v>
      </c>
      <c r="AB82" s="416" t="s">
        <v>666</v>
      </c>
      <c r="AC82" s="416" t="s">
        <v>666</v>
      </c>
      <c r="AG82" s="53"/>
      <c r="AH82" s="54"/>
    </row>
    <row r="83" spans="1:34">
      <c r="A83" s="415">
        <v>2</v>
      </c>
      <c r="B83" s="415" t="s">
        <v>343</v>
      </c>
      <c r="C83" s="415">
        <v>46</v>
      </c>
      <c r="D83" s="415" t="s">
        <v>447</v>
      </c>
      <c r="E83" s="415">
        <v>10</v>
      </c>
      <c r="F83" s="415" t="s">
        <v>448</v>
      </c>
      <c r="G83" s="415">
        <v>90</v>
      </c>
      <c r="H83" s="415" t="s">
        <v>435</v>
      </c>
      <c r="I83" s="415" t="s">
        <v>449</v>
      </c>
      <c r="J83" s="415" t="s">
        <v>450</v>
      </c>
      <c r="K83" s="415">
        <v>8040915</v>
      </c>
      <c r="L83" s="41">
        <f>VLOOKUP(K83,WebPosting!$B$6:$B$561,1,FALSE)</f>
        <v>8040915</v>
      </c>
      <c r="M83" s="46">
        <f>(($V83*1000)*(IFERROR($T83-WebPosting!$K$1,"0")))</f>
        <v>0</v>
      </c>
      <c r="N83" s="43">
        <f t="shared" si="1"/>
        <v>602479.36400000006</v>
      </c>
      <c r="O83" s="416" t="s">
        <v>672</v>
      </c>
      <c r="P83" s="416" t="s">
        <v>699</v>
      </c>
      <c r="Q83" s="416" t="s">
        <v>700</v>
      </c>
      <c r="R83" s="417">
        <v>39538</v>
      </c>
      <c r="S83" s="416" t="s">
        <v>696</v>
      </c>
      <c r="T83" s="416" t="s">
        <v>696</v>
      </c>
      <c r="U83" s="416">
        <v>0.22064800000000001</v>
      </c>
      <c r="V83" s="418">
        <v>273050</v>
      </c>
      <c r="W83" s="419">
        <v>273050000.04000002</v>
      </c>
      <c r="X83" s="416" t="s">
        <v>666</v>
      </c>
      <c r="Y83" s="416" t="s">
        <v>663</v>
      </c>
      <c r="Z83" s="416" t="s">
        <v>664</v>
      </c>
      <c r="AA83" s="416" t="s">
        <v>665</v>
      </c>
      <c r="AB83" s="416" t="s">
        <v>666</v>
      </c>
      <c r="AC83" s="416" t="s">
        <v>666</v>
      </c>
    </row>
    <row r="84" spans="1:34">
      <c r="A84" s="415">
        <v>2</v>
      </c>
      <c r="B84" s="415" t="s">
        <v>343</v>
      </c>
      <c r="C84" s="415">
        <v>47</v>
      </c>
      <c r="D84" s="415" t="s">
        <v>451</v>
      </c>
      <c r="E84" s="415">
        <v>10</v>
      </c>
      <c r="F84" s="415" t="s">
        <v>452</v>
      </c>
      <c r="G84" s="415">
        <v>90</v>
      </c>
      <c r="H84" s="415" t="s">
        <v>435</v>
      </c>
      <c r="I84" s="415" t="s">
        <v>453</v>
      </c>
      <c r="J84" s="415" t="s">
        <v>437</v>
      </c>
      <c r="K84" s="415">
        <v>8040917</v>
      </c>
      <c r="L84" s="41">
        <f>VLOOKUP(K84,WebPosting!$B$6:$B$561,1,FALSE)</f>
        <v>8040917</v>
      </c>
      <c r="M84" s="46">
        <f>(($V84*1000)*(IFERROR($T84-WebPosting!$K$1,"0")))</f>
        <v>0</v>
      </c>
      <c r="N84" s="43">
        <f t="shared" si="1"/>
        <v>419943.89304000005</v>
      </c>
      <c r="O84" s="416" t="s">
        <v>672</v>
      </c>
      <c r="P84" s="416" t="s">
        <v>699</v>
      </c>
      <c r="Q84" s="416" t="s">
        <v>700</v>
      </c>
      <c r="R84" s="417">
        <v>39538</v>
      </c>
      <c r="S84" s="416" t="s">
        <v>696</v>
      </c>
      <c r="T84" s="416" t="s">
        <v>696</v>
      </c>
      <c r="U84" s="416">
        <v>0.22064800000000001</v>
      </c>
      <c r="V84" s="418">
        <v>190323</v>
      </c>
      <c r="W84" s="419">
        <v>190323125.03</v>
      </c>
      <c r="X84" s="416" t="s">
        <v>666</v>
      </c>
      <c r="Y84" s="416" t="s">
        <v>663</v>
      </c>
      <c r="Z84" s="416" t="s">
        <v>664</v>
      </c>
      <c r="AA84" s="416" t="s">
        <v>665</v>
      </c>
      <c r="AB84" s="416" t="s">
        <v>666</v>
      </c>
      <c r="AC84" s="416" t="s">
        <v>666</v>
      </c>
      <c r="AG84" s="53"/>
      <c r="AH84" s="54"/>
    </row>
    <row r="85" spans="1:34">
      <c r="A85" s="415">
        <v>2</v>
      </c>
      <c r="B85" s="415" t="s">
        <v>343</v>
      </c>
      <c r="C85" s="415">
        <v>48</v>
      </c>
      <c r="D85" s="415" t="s">
        <v>454</v>
      </c>
      <c r="E85" s="415">
        <v>10</v>
      </c>
      <c r="F85" s="415" t="s">
        <v>455</v>
      </c>
      <c r="G85" s="415">
        <v>90</v>
      </c>
      <c r="H85" s="415" t="s">
        <v>435</v>
      </c>
      <c r="I85" s="415" t="s">
        <v>456</v>
      </c>
      <c r="J85" s="415" t="s">
        <v>457</v>
      </c>
      <c r="K85" s="415">
        <v>8040916</v>
      </c>
      <c r="L85" s="41">
        <f>VLOOKUP(K85,WebPosting!$B$6:$B$561,1,FALSE)</f>
        <v>8040916</v>
      </c>
      <c r="M85" s="46">
        <f>(($V85*1000)*(IFERROR($T85-WebPosting!$K$1,"0")))</f>
        <v>0</v>
      </c>
      <c r="N85" s="43">
        <f t="shared" si="1"/>
        <v>110392.40088000002</v>
      </c>
      <c r="O85" s="416" t="s">
        <v>672</v>
      </c>
      <c r="P85" s="416" t="s">
        <v>699</v>
      </c>
      <c r="Q85" s="416" t="s">
        <v>700</v>
      </c>
      <c r="R85" s="417">
        <v>39538</v>
      </c>
      <c r="S85" s="416" t="s">
        <v>696</v>
      </c>
      <c r="T85" s="416" t="s">
        <v>696</v>
      </c>
      <c r="U85" s="416">
        <v>0.22064800000000001</v>
      </c>
      <c r="V85" s="418">
        <v>50031</v>
      </c>
      <c r="W85" s="419">
        <v>50031250</v>
      </c>
      <c r="X85" s="416" t="s">
        <v>666</v>
      </c>
      <c r="Y85" s="416" t="s">
        <v>663</v>
      </c>
      <c r="Z85" s="416" t="s">
        <v>664</v>
      </c>
      <c r="AA85" s="416" t="s">
        <v>665</v>
      </c>
      <c r="AB85" s="416" t="s">
        <v>666</v>
      </c>
      <c r="AC85" s="416" t="s">
        <v>666</v>
      </c>
    </row>
    <row r="86" spans="1:34">
      <c r="A86" s="415">
        <v>2</v>
      </c>
      <c r="B86" s="415" t="s">
        <v>343</v>
      </c>
      <c r="C86" s="415">
        <v>49</v>
      </c>
      <c r="D86" s="415" t="s">
        <v>458</v>
      </c>
      <c r="E86" s="415">
        <v>10</v>
      </c>
      <c r="F86" s="415" t="s">
        <v>459</v>
      </c>
      <c r="G86" s="415">
        <v>90</v>
      </c>
      <c r="H86" s="415" t="s">
        <v>435</v>
      </c>
      <c r="I86" s="415" t="s">
        <v>460</v>
      </c>
      <c r="J86" s="415" t="s">
        <v>461</v>
      </c>
      <c r="K86" s="415">
        <v>9010611</v>
      </c>
      <c r="L86" s="41" t="e">
        <f>VLOOKUP(K86,WebPosting!$B$6:$B$561,1,FALSE)</f>
        <v>#N/A</v>
      </c>
      <c r="M86" s="46">
        <f>(($V86*1000)*(IFERROR($T86-WebPosting!$K$1,"0")))</f>
        <v>0</v>
      </c>
      <c r="N86" s="43">
        <f t="shared" si="1"/>
        <v>0</v>
      </c>
      <c r="O86" s="416" t="s">
        <v>672</v>
      </c>
      <c r="P86" s="416" t="s">
        <v>699</v>
      </c>
      <c r="Q86" s="416" t="s">
        <v>700</v>
      </c>
      <c r="R86" s="417">
        <v>39813</v>
      </c>
      <c r="S86" s="416" t="s">
        <v>696</v>
      </c>
      <c r="T86" s="416" t="s">
        <v>696</v>
      </c>
      <c r="U86" s="416">
        <v>2.4002400000000002</v>
      </c>
      <c r="V86" s="416"/>
      <c r="W86" s="416">
        <v>0</v>
      </c>
      <c r="X86" s="416" t="s">
        <v>666</v>
      </c>
      <c r="Y86" s="416" t="s">
        <v>663</v>
      </c>
      <c r="Z86" s="416" t="s">
        <v>664</v>
      </c>
      <c r="AA86" s="416" t="s">
        <v>665</v>
      </c>
      <c r="AB86" s="416" t="s">
        <v>666</v>
      </c>
      <c r="AC86" s="416" t="s">
        <v>666</v>
      </c>
    </row>
    <row r="87" spans="1:34">
      <c r="A87" s="415">
        <v>2</v>
      </c>
      <c r="B87" s="415" t="s">
        <v>343</v>
      </c>
      <c r="C87" s="415">
        <v>50</v>
      </c>
      <c r="D87" s="415" t="s">
        <v>462</v>
      </c>
      <c r="E87" s="415">
        <v>51</v>
      </c>
      <c r="F87" s="415" t="s">
        <v>463</v>
      </c>
      <c r="G87" s="415">
        <v>15</v>
      </c>
      <c r="H87" s="415" t="s">
        <v>341</v>
      </c>
      <c r="I87" s="415" t="s">
        <v>464</v>
      </c>
      <c r="J87" s="415" t="s">
        <v>465</v>
      </c>
      <c r="K87" s="415">
        <v>16072813</v>
      </c>
      <c r="L87" s="41">
        <f>VLOOKUP(K87,WebPosting!$B$6:$B$561,1,FALSE)</f>
        <v>16072813</v>
      </c>
      <c r="M87" s="46">
        <f>(($V87*1000)*(IFERROR($T87-WebPosting!$K$1,"0")))</f>
        <v>0</v>
      </c>
      <c r="N87" s="43">
        <f t="shared" si="1"/>
        <v>20000</v>
      </c>
      <c r="O87" s="416" t="s">
        <v>672</v>
      </c>
      <c r="P87" s="416" t="s">
        <v>701</v>
      </c>
      <c r="Q87" s="416" t="s">
        <v>702</v>
      </c>
      <c r="R87" s="417">
        <v>42579</v>
      </c>
      <c r="S87" s="416" t="s">
        <v>696</v>
      </c>
      <c r="T87" s="416" t="s">
        <v>696</v>
      </c>
      <c r="U87" s="416">
        <v>0.04</v>
      </c>
      <c r="V87" s="418">
        <v>50000</v>
      </c>
      <c r="W87" s="419">
        <v>50000000</v>
      </c>
      <c r="X87" s="416" t="s">
        <v>666</v>
      </c>
      <c r="Y87" s="416" t="s">
        <v>698</v>
      </c>
      <c r="Z87" s="416" t="s">
        <v>664</v>
      </c>
      <c r="AA87" s="416" t="s">
        <v>665</v>
      </c>
      <c r="AB87" s="416" t="s">
        <v>666</v>
      </c>
      <c r="AC87" s="416" t="s">
        <v>666</v>
      </c>
    </row>
    <row r="88" spans="1:34">
      <c r="A88" s="415">
        <v>2</v>
      </c>
      <c r="B88" s="415" t="s">
        <v>343</v>
      </c>
      <c r="C88" s="415">
        <v>50</v>
      </c>
      <c r="D88" s="415" t="s">
        <v>462</v>
      </c>
      <c r="E88" s="415">
        <v>54</v>
      </c>
      <c r="F88" s="415" t="s">
        <v>466</v>
      </c>
      <c r="G88" s="415">
        <v>10</v>
      </c>
      <c r="H88" s="415" t="s">
        <v>467</v>
      </c>
      <c r="I88" s="415" t="s">
        <v>468</v>
      </c>
      <c r="J88" s="415" t="s">
        <v>469</v>
      </c>
      <c r="K88" s="415">
        <v>95091816</v>
      </c>
      <c r="L88" s="41" t="e">
        <f>VLOOKUP(K88,WebPosting!$B$6:$B$561,1,FALSE)</f>
        <v>#N/A</v>
      </c>
      <c r="M88" s="46">
        <f>(($V88*1000)*(IFERROR($T88-WebPosting!$K$1,"0")))</f>
        <v>0</v>
      </c>
      <c r="N88" s="43">
        <f t="shared" si="1"/>
        <v>0</v>
      </c>
      <c r="O88" s="416" t="s">
        <v>672</v>
      </c>
      <c r="P88" s="416" t="s">
        <v>703</v>
      </c>
      <c r="Q88" s="416" t="s">
        <v>704</v>
      </c>
      <c r="R88" s="417">
        <v>34960</v>
      </c>
      <c r="S88" s="416" t="s">
        <v>696</v>
      </c>
      <c r="T88" s="416" t="s">
        <v>696</v>
      </c>
      <c r="U88" s="416">
        <v>1.0000000000000001E-9</v>
      </c>
      <c r="V88" s="416"/>
      <c r="W88" s="416">
        <v>0</v>
      </c>
      <c r="X88" s="416" t="s">
        <v>666</v>
      </c>
      <c r="Y88" s="416" t="s">
        <v>698</v>
      </c>
      <c r="Z88" s="416" t="s">
        <v>664</v>
      </c>
      <c r="AA88" s="416" t="s">
        <v>665</v>
      </c>
      <c r="AB88" s="416" t="s">
        <v>666</v>
      </c>
      <c r="AC88" s="416" t="s">
        <v>666</v>
      </c>
      <c r="AG88" s="53"/>
      <c r="AH88" s="54"/>
    </row>
    <row r="89" spans="1:34">
      <c r="A89" s="415">
        <v>2</v>
      </c>
      <c r="B89" s="415" t="s">
        <v>343</v>
      </c>
      <c r="C89" s="415">
        <v>50</v>
      </c>
      <c r="D89" s="415" t="s">
        <v>462</v>
      </c>
      <c r="E89" s="415">
        <v>56</v>
      </c>
      <c r="F89" s="415" t="s">
        <v>470</v>
      </c>
      <c r="G89" s="415">
        <v>15</v>
      </c>
      <c r="H89" s="415" t="s">
        <v>471</v>
      </c>
      <c r="I89" s="415" t="s">
        <v>472</v>
      </c>
      <c r="J89" s="415" t="s">
        <v>473</v>
      </c>
      <c r="K89" s="415">
        <v>8050708</v>
      </c>
      <c r="L89" s="41" t="e">
        <f>VLOOKUP(K89,WebPosting!$B$6:$B$561,1,FALSE)</f>
        <v>#N/A</v>
      </c>
      <c r="M89" s="46">
        <f>(($V89*1000)*(IFERROR($T89-WebPosting!$K$1,"0")))</f>
        <v>0</v>
      </c>
      <c r="N89" s="43">
        <f t="shared" si="1"/>
        <v>0</v>
      </c>
      <c r="O89" s="416" t="s">
        <v>672</v>
      </c>
      <c r="P89" s="416" t="s">
        <v>705</v>
      </c>
      <c r="Q89" s="416" t="s">
        <v>706</v>
      </c>
      <c r="R89" s="417">
        <v>39573</v>
      </c>
      <c r="S89" s="416" t="s">
        <v>696</v>
      </c>
      <c r="T89" s="416" t="s">
        <v>696</v>
      </c>
      <c r="U89" s="416">
        <v>1.0000000000000001E-9</v>
      </c>
      <c r="V89" s="416"/>
      <c r="W89" s="416">
        <v>0</v>
      </c>
      <c r="X89" s="416" t="s">
        <v>666</v>
      </c>
      <c r="Y89" s="416" t="s">
        <v>698</v>
      </c>
      <c r="Z89" s="416" t="s">
        <v>664</v>
      </c>
      <c r="AA89" s="416" t="s">
        <v>665</v>
      </c>
      <c r="AB89" s="416" t="s">
        <v>666</v>
      </c>
      <c r="AC89" s="416" t="s">
        <v>666</v>
      </c>
      <c r="AG89" s="53"/>
      <c r="AH89" s="54"/>
    </row>
    <row r="90" spans="1:34">
      <c r="A90" s="415">
        <v>2</v>
      </c>
      <c r="B90" s="415" t="s">
        <v>343</v>
      </c>
      <c r="C90" s="415">
        <v>50</v>
      </c>
      <c r="D90" s="415" t="s">
        <v>462</v>
      </c>
      <c r="E90" s="415">
        <v>61</v>
      </c>
      <c r="F90" s="415" t="s">
        <v>474</v>
      </c>
      <c r="G90" s="415">
        <v>10</v>
      </c>
      <c r="H90" s="415" t="s">
        <v>467</v>
      </c>
      <c r="I90" s="415" t="s">
        <v>475</v>
      </c>
      <c r="J90" s="415" t="s">
        <v>476</v>
      </c>
      <c r="K90" s="415">
        <v>8051415</v>
      </c>
      <c r="L90" s="41" t="e">
        <f>VLOOKUP(K90,WebPosting!$B$6:$B$561,1,FALSE)</f>
        <v>#N/A</v>
      </c>
      <c r="M90" s="46">
        <f>(($V90*1000)*(IFERROR($T90-WebPosting!$K$1,"0")))</f>
        <v>0</v>
      </c>
      <c r="N90" s="43">
        <f t="shared" si="1"/>
        <v>0</v>
      </c>
      <c r="O90" s="416" t="s">
        <v>672</v>
      </c>
      <c r="P90" s="416" t="s">
        <v>707</v>
      </c>
      <c r="Q90" s="416" t="s">
        <v>708</v>
      </c>
      <c r="R90" s="417">
        <v>39582</v>
      </c>
      <c r="S90" s="416" t="s">
        <v>696</v>
      </c>
      <c r="T90" s="416" t="s">
        <v>696</v>
      </c>
      <c r="U90" s="416">
        <v>1.0000000000000001E-9</v>
      </c>
      <c r="V90" s="416"/>
      <c r="W90" s="416">
        <v>0</v>
      </c>
      <c r="X90" s="416" t="s">
        <v>666</v>
      </c>
      <c r="Y90" s="416" t="s">
        <v>698</v>
      </c>
      <c r="Z90" s="416" t="s">
        <v>664</v>
      </c>
      <c r="AA90" s="416" t="s">
        <v>665</v>
      </c>
      <c r="AB90" s="416" t="s">
        <v>666</v>
      </c>
      <c r="AC90" s="416" t="s">
        <v>666</v>
      </c>
      <c r="AG90" s="53"/>
      <c r="AH90" s="54"/>
    </row>
    <row r="91" spans="1:34">
      <c r="A91" s="415">
        <v>2</v>
      </c>
      <c r="B91" s="415" t="s">
        <v>343</v>
      </c>
      <c r="C91" s="415">
        <v>50</v>
      </c>
      <c r="D91" s="415" t="s">
        <v>462</v>
      </c>
      <c r="E91" s="415">
        <v>64</v>
      </c>
      <c r="F91" s="415" t="s">
        <v>477</v>
      </c>
      <c r="G91" s="415">
        <v>10</v>
      </c>
      <c r="H91" s="415" t="s">
        <v>478</v>
      </c>
      <c r="I91" s="415" t="s">
        <v>479</v>
      </c>
      <c r="J91" s="415" t="s">
        <v>480</v>
      </c>
      <c r="K91" s="415">
        <v>2030116</v>
      </c>
      <c r="L91" s="41" t="e">
        <f>VLOOKUP(K91,WebPosting!$B$6:$B$561,1,FALSE)</f>
        <v>#N/A</v>
      </c>
      <c r="M91" s="46">
        <f>(($V91*1000)*(IFERROR($T91-WebPosting!$K$1,"0")))</f>
        <v>0</v>
      </c>
      <c r="N91" s="43">
        <f t="shared" si="1"/>
        <v>0</v>
      </c>
      <c r="O91" s="416" t="s">
        <v>672</v>
      </c>
      <c r="P91" s="416" t="s">
        <v>709</v>
      </c>
      <c r="Q91" s="416" t="s">
        <v>710</v>
      </c>
      <c r="R91" s="417">
        <v>37316</v>
      </c>
      <c r="S91" s="416" t="s">
        <v>696</v>
      </c>
      <c r="T91" s="416" t="s">
        <v>696</v>
      </c>
      <c r="U91" s="416">
        <v>1.453015E-4</v>
      </c>
      <c r="V91" s="416"/>
      <c r="W91" s="416">
        <v>0</v>
      </c>
      <c r="X91" s="416" t="s">
        <v>666</v>
      </c>
      <c r="Y91" s="416" t="s">
        <v>698</v>
      </c>
      <c r="Z91" s="416" t="s">
        <v>664</v>
      </c>
      <c r="AA91" s="416" t="s">
        <v>665</v>
      </c>
      <c r="AB91" s="416" t="s">
        <v>666</v>
      </c>
      <c r="AC91" s="416" t="s">
        <v>666</v>
      </c>
      <c r="AG91" s="53"/>
      <c r="AH91" s="54"/>
    </row>
    <row r="92" spans="1:34">
      <c r="A92" s="415">
        <v>2</v>
      </c>
      <c r="B92" s="415" t="s">
        <v>343</v>
      </c>
      <c r="C92" s="415">
        <v>50</v>
      </c>
      <c r="D92" s="415" t="s">
        <v>462</v>
      </c>
      <c r="E92" s="415">
        <v>67</v>
      </c>
      <c r="F92" s="415" t="s">
        <v>481</v>
      </c>
      <c r="G92" s="415">
        <v>10</v>
      </c>
      <c r="H92" s="415" t="s">
        <v>478</v>
      </c>
      <c r="I92" s="415" t="s">
        <v>482</v>
      </c>
      <c r="J92" s="415" t="s">
        <v>483</v>
      </c>
      <c r="K92" s="415">
        <v>3061221</v>
      </c>
      <c r="L92" s="41" t="e">
        <f>VLOOKUP(K92,WebPosting!$B$6:$B$561,1,FALSE)</f>
        <v>#N/A</v>
      </c>
      <c r="M92" s="46">
        <f>(($V92*1000)*(IFERROR($T92-WebPosting!$K$1,"0")))</f>
        <v>0</v>
      </c>
      <c r="N92" s="43">
        <f t="shared" si="1"/>
        <v>0</v>
      </c>
      <c r="O92" s="416" t="s">
        <v>672</v>
      </c>
      <c r="P92" s="416" t="s">
        <v>669</v>
      </c>
      <c r="Q92" s="416" t="s">
        <v>670</v>
      </c>
      <c r="R92" s="417">
        <v>37784</v>
      </c>
      <c r="S92" s="416" t="s">
        <v>696</v>
      </c>
      <c r="T92" s="416" t="s">
        <v>696</v>
      </c>
      <c r="U92" s="416">
        <v>1.0000000000000001E-9</v>
      </c>
      <c r="V92" s="416"/>
      <c r="W92" s="416">
        <v>0</v>
      </c>
      <c r="X92" s="416" t="s">
        <v>666</v>
      </c>
      <c r="Y92" s="416" t="s">
        <v>698</v>
      </c>
      <c r="Z92" s="416" t="s">
        <v>664</v>
      </c>
      <c r="AA92" s="416" t="s">
        <v>665</v>
      </c>
      <c r="AB92" s="416" t="s">
        <v>666</v>
      </c>
      <c r="AC92" s="416" t="s">
        <v>666</v>
      </c>
      <c r="AG92" s="53"/>
      <c r="AH92" s="54"/>
    </row>
    <row r="93" spans="1:34">
      <c r="A93" s="415">
        <v>2</v>
      </c>
      <c r="B93" s="415" t="s">
        <v>343</v>
      </c>
      <c r="C93" s="415">
        <v>50</v>
      </c>
      <c r="D93" s="415" t="s">
        <v>462</v>
      </c>
      <c r="E93" s="415">
        <v>68</v>
      </c>
      <c r="F93" s="415" t="s">
        <v>484</v>
      </c>
      <c r="G93" s="415">
        <v>10</v>
      </c>
      <c r="H93" s="415" t="s">
        <v>478</v>
      </c>
      <c r="I93" s="415" t="s">
        <v>485</v>
      </c>
      <c r="J93" s="415" t="s">
        <v>486</v>
      </c>
      <c r="K93" s="415">
        <v>3061220</v>
      </c>
      <c r="L93" s="41" t="e">
        <f>VLOOKUP(K93,WebPosting!$B$6:$B$561,1,FALSE)</f>
        <v>#N/A</v>
      </c>
      <c r="M93" s="46">
        <f>(($V93*1000)*(IFERROR($T93-WebPosting!$K$1,"0")))</f>
        <v>0</v>
      </c>
      <c r="N93" s="43">
        <f t="shared" si="1"/>
        <v>0</v>
      </c>
      <c r="O93" s="416" t="s">
        <v>672</v>
      </c>
      <c r="P93" s="416" t="s">
        <v>669</v>
      </c>
      <c r="Q93" s="416" t="s">
        <v>670</v>
      </c>
      <c r="R93" s="417">
        <v>37784</v>
      </c>
      <c r="S93" s="416" t="s">
        <v>696</v>
      </c>
      <c r="T93" s="416" t="s">
        <v>696</v>
      </c>
      <c r="U93" s="416">
        <v>1.0000000000000001E-9</v>
      </c>
      <c r="V93" s="416"/>
      <c r="W93" s="416">
        <v>0</v>
      </c>
      <c r="X93" s="416" t="s">
        <v>666</v>
      </c>
      <c r="Y93" s="416" t="s">
        <v>698</v>
      </c>
      <c r="Z93" s="416" t="s">
        <v>664</v>
      </c>
      <c r="AA93" s="416" t="s">
        <v>665</v>
      </c>
      <c r="AB93" s="416" t="s">
        <v>666</v>
      </c>
      <c r="AC93" s="416" t="s">
        <v>666</v>
      </c>
    </row>
    <row r="94" spans="1:34">
      <c r="A94" s="415">
        <v>2</v>
      </c>
      <c r="B94" s="415" t="s">
        <v>343</v>
      </c>
      <c r="C94" s="415">
        <v>50</v>
      </c>
      <c r="D94" s="415" t="s">
        <v>462</v>
      </c>
      <c r="E94" s="415">
        <v>69</v>
      </c>
      <c r="F94" s="415" t="s">
        <v>487</v>
      </c>
      <c r="G94" s="415">
        <v>15</v>
      </c>
      <c r="H94" s="415" t="s">
        <v>488</v>
      </c>
      <c r="I94" s="415" t="s">
        <v>489</v>
      </c>
      <c r="J94" s="415" t="s">
        <v>490</v>
      </c>
      <c r="K94" s="415">
        <v>5040407</v>
      </c>
      <c r="L94" s="41" t="e">
        <f>VLOOKUP(K94,WebPosting!$B$6:$B$561,1,FALSE)</f>
        <v>#N/A</v>
      </c>
      <c r="M94" s="46">
        <f>(($V94*1000)*(IFERROR($T94-WebPosting!$K$1,"0")))</f>
        <v>0</v>
      </c>
      <c r="N94" s="43">
        <f t="shared" si="1"/>
        <v>0</v>
      </c>
      <c r="O94" s="416" t="s">
        <v>672</v>
      </c>
      <c r="P94" s="416" t="s">
        <v>671</v>
      </c>
      <c r="Q94" s="416" t="s">
        <v>390</v>
      </c>
      <c r="R94" s="417">
        <v>38443</v>
      </c>
      <c r="S94" s="416" t="s">
        <v>696</v>
      </c>
      <c r="T94" s="416" t="s">
        <v>696</v>
      </c>
      <c r="U94" s="416">
        <v>1.16737E-4</v>
      </c>
      <c r="V94" s="416"/>
      <c r="W94" s="416">
        <v>0</v>
      </c>
      <c r="X94" s="416" t="s">
        <v>666</v>
      </c>
      <c r="Y94" s="416" t="s">
        <v>698</v>
      </c>
      <c r="Z94" s="416" t="s">
        <v>664</v>
      </c>
      <c r="AA94" s="416" t="s">
        <v>665</v>
      </c>
      <c r="AB94" s="416" t="s">
        <v>666</v>
      </c>
      <c r="AC94" s="416" t="s">
        <v>666</v>
      </c>
      <c r="AG94" s="53"/>
      <c r="AH94" s="54"/>
    </row>
    <row r="95" spans="1:34">
      <c r="A95" s="415">
        <v>2</v>
      </c>
      <c r="B95" s="415" t="s">
        <v>343</v>
      </c>
      <c r="C95" s="415">
        <v>50</v>
      </c>
      <c r="D95" s="415" t="s">
        <v>462</v>
      </c>
      <c r="E95" s="415">
        <v>76</v>
      </c>
      <c r="F95" s="415" t="s">
        <v>491</v>
      </c>
      <c r="G95" s="415">
        <v>15</v>
      </c>
      <c r="H95" s="415" t="s">
        <v>341</v>
      </c>
      <c r="I95" s="415" t="s">
        <v>492</v>
      </c>
      <c r="J95" s="415" t="s">
        <v>493</v>
      </c>
      <c r="K95" s="415">
        <v>9062513</v>
      </c>
      <c r="L95" s="41" t="e">
        <f>VLOOKUP(K95,WebPosting!$B$6:$B$561,1,FALSE)</f>
        <v>#N/A</v>
      </c>
      <c r="M95" s="46">
        <f>(($V95*1000)*(IFERROR($T95-WebPosting!$K$1,"0")))</f>
        <v>0</v>
      </c>
      <c r="N95" s="43">
        <f t="shared" si="1"/>
        <v>0</v>
      </c>
      <c r="O95" s="416" t="s">
        <v>672</v>
      </c>
      <c r="P95" s="416" t="s">
        <v>711</v>
      </c>
      <c r="Q95" s="416" t="s">
        <v>712</v>
      </c>
      <c r="R95" s="417">
        <v>39989</v>
      </c>
      <c r="S95" s="416" t="s">
        <v>696</v>
      </c>
      <c r="T95" s="416" t="s">
        <v>696</v>
      </c>
      <c r="U95" s="416">
        <v>1</v>
      </c>
      <c r="V95" s="416"/>
      <c r="W95" s="416">
        <v>0</v>
      </c>
      <c r="X95" s="416" t="s">
        <v>666</v>
      </c>
      <c r="Y95" s="416" t="s">
        <v>698</v>
      </c>
      <c r="Z95" s="416" t="s">
        <v>664</v>
      </c>
      <c r="AA95" s="416" t="s">
        <v>665</v>
      </c>
      <c r="AB95" s="416" t="s">
        <v>666</v>
      </c>
      <c r="AC95" s="416" t="s">
        <v>666</v>
      </c>
    </row>
    <row r="96" spans="1:34">
      <c r="A96" s="415">
        <v>2</v>
      </c>
      <c r="B96" s="415" t="s">
        <v>343</v>
      </c>
      <c r="C96" s="415">
        <v>50</v>
      </c>
      <c r="D96" s="415" t="s">
        <v>462</v>
      </c>
      <c r="E96" s="415">
        <v>77</v>
      </c>
      <c r="F96" s="415" t="s">
        <v>494</v>
      </c>
      <c r="G96" s="415">
        <v>15</v>
      </c>
      <c r="H96" s="415" t="s">
        <v>390</v>
      </c>
      <c r="I96" s="415" t="s">
        <v>495</v>
      </c>
      <c r="J96" s="415" t="s">
        <v>496</v>
      </c>
      <c r="K96" s="415">
        <v>9062616</v>
      </c>
      <c r="L96" s="41" t="e">
        <f>VLOOKUP(K96,WebPosting!$B$6:$B$561,1,FALSE)</f>
        <v>#N/A</v>
      </c>
      <c r="M96" s="46">
        <f>(($V96*1000)*(IFERROR($T96-WebPosting!$K$1,"0")))</f>
        <v>0</v>
      </c>
      <c r="N96" s="43">
        <f t="shared" si="1"/>
        <v>0</v>
      </c>
      <c r="O96" s="416" t="s">
        <v>672</v>
      </c>
      <c r="P96" s="416" t="s">
        <v>713</v>
      </c>
      <c r="Q96" s="416" t="s">
        <v>714</v>
      </c>
      <c r="R96" s="417">
        <v>39990</v>
      </c>
      <c r="S96" s="416" t="s">
        <v>696</v>
      </c>
      <c r="T96" s="416" t="s">
        <v>696</v>
      </c>
      <c r="U96" s="416">
        <v>0.01</v>
      </c>
      <c r="V96" s="416"/>
      <c r="W96" s="416">
        <v>0</v>
      </c>
      <c r="X96" s="416" t="s">
        <v>666</v>
      </c>
      <c r="Y96" s="416" t="s">
        <v>698</v>
      </c>
      <c r="Z96" s="416" t="s">
        <v>664</v>
      </c>
      <c r="AA96" s="416" t="s">
        <v>665</v>
      </c>
      <c r="AB96" s="416" t="s">
        <v>666</v>
      </c>
      <c r="AC96" s="416" t="s">
        <v>666</v>
      </c>
      <c r="AG96" s="53"/>
      <c r="AH96" s="54"/>
    </row>
    <row r="97" spans="1:34">
      <c r="A97" s="415">
        <v>2</v>
      </c>
      <c r="B97" s="415" t="s">
        <v>343</v>
      </c>
      <c r="C97" s="415">
        <v>50</v>
      </c>
      <c r="D97" s="415" t="s">
        <v>462</v>
      </c>
      <c r="E97" s="415">
        <v>78</v>
      </c>
      <c r="F97" s="415" t="s">
        <v>497</v>
      </c>
      <c r="G97" s="415">
        <v>15</v>
      </c>
      <c r="H97" s="415" t="s">
        <v>331</v>
      </c>
      <c r="I97" s="415" t="s">
        <v>498</v>
      </c>
      <c r="J97" s="415" t="s">
        <v>499</v>
      </c>
      <c r="K97" s="415">
        <v>9062615</v>
      </c>
      <c r="L97" s="41">
        <f>VLOOKUP(K97,WebPosting!$B$6:$B$561,1,FALSE)</f>
        <v>9062615</v>
      </c>
      <c r="M97" s="46">
        <f>(($V97*1000)*(IFERROR($T97-WebPosting!$K$1,"0")))</f>
        <v>0</v>
      </c>
      <c r="N97" s="43">
        <f t="shared" si="1"/>
        <v>25000</v>
      </c>
      <c r="O97" s="416" t="s">
        <v>672</v>
      </c>
      <c r="P97" s="416" t="s">
        <v>715</v>
      </c>
      <c r="Q97" s="416" t="s">
        <v>716</v>
      </c>
      <c r="R97" s="417">
        <v>39990</v>
      </c>
      <c r="S97" s="416" t="s">
        <v>696</v>
      </c>
      <c r="T97" s="416" t="s">
        <v>696</v>
      </c>
      <c r="U97" s="416">
        <v>0.01</v>
      </c>
      <c r="V97" s="418">
        <v>250000</v>
      </c>
      <c r="W97" s="419">
        <v>250000000</v>
      </c>
      <c r="X97" s="416" t="s">
        <v>666</v>
      </c>
      <c r="Y97" s="416" t="s">
        <v>698</v>
      </c>
      <c r="Z97" s="416" t="s">
        <v>664</v>
      </c>
      <c r="AA97" s="416" t="s">
        <v>665</v>
      </c>
      <c r="AB97" s="416" t="s">
        <v>666</v>
      </c>
      <c r="AC97" s="416" t="s">
        <v>666</v>
      </c>
    </row>
    <row r="98" spans="1:34">
      <c r="A98" s="415">
        <v>2</v>
      </c>
      <c r="B98" s="415" t="s">
        <v>343</v>
      </c>
      <c r="C98" s="415">
        <v>50</v>
      </c>
      <c r="D98" s="415" t="s">
        <v>462</v>
      </c>
      <c r="E98" s="415">
        <v>79</v>
      </c>
      <c r="F98" s="415" t="s">
        <v>500</v>
      </c>
      <c r="G98" s="415">
        <v>17</v>
      </c>
      <c r="H98" s="415" t="s">
        <v>501</v>
      </c>
      <c r="I98" s="415" t="s">
        <v>502</v>
      </c>
      <c r="J98" s="415" t="s">
        <v>503</v>
      </c>
      <c r="K98" s="415">
        <v>15062616</v>
      </c>
      <c r="L98" s="41">
        <f>VLOOKUP(K98,WebPosting!$B$6:$B$561,1,FALSE)</f>
        <v>15062616</v>
      </c>
      <c r="M98" s="46">
        <f>(($V98*1000)*(IFERROR($T98-WebPosting!$K$1,"0")))</f>
        <v>0</v>
      </c>
      <c r="N98" s="43">
        <f t="shared" si="1"/>
        <v>36000</v>
      </c>
      <c r="O98" s="416" t="s">
        <v>672</v>
      </c>
      <c r="P98" s="416" t="s">
        <v>711</v>
      </c>
      <c r="Q98" s="416" t="s">
        <v>712</v>
      </c>
      <c r="R98" s="417">
        <v>42181</v>
      </c>
      <c r="S98" s="416" t="s">
        <v>696</v>
      </c>
      <c r="T98" s="416" t="s">
        <v>696</v>
      </c>
      <c r="U98" s="416">
        <v>0.04</v>
      </c>
      <c r="V98" s="418">
        <v>90000</v>
      </c>
      <c r="W98" s="419">
        <v>90000000</v>
      </c>
      <c r="X98" s="416" t="s">
        <v>666</v>
      </c>
      <c r="Y98" s="416" t="s">
        <v>698</v>
      </c>
      <c r="Z98" s="416" t="s">
        <v>664</v>
      </c>
      <c r="AA98" s="416" t="s">
        <v>665</v>
      </c>
      <c r="AB98" s="416" t="s">
        <v>666</v>
      </c>
      <c r="AC98" s="416" t="s">
        <v>666</v>
      </c>
      <c r="AG98" s="53"/>
      <c r="AH98" s="54"/>
    </row>
    <row r="99" spans="1:34">
      <c r="A99" s="415">
        <v>2</v>
      </c>
      <c r="B99" s="415" t="s">
        <v>343</v>
      </c>
      <c r="C99" s="415">
        <v>50</v>
      </c>
      <c r="D99" s="415" t="s">
        <v>462</v>
      </c>
      <c r="E99" s="415">
        <v>80</v>
      </c>
      <c r="F99" s="415" t="s">
        <v>504</v>
      </c>
      <c r="G99" s="415">
        <v>15</v>
      </c>
      <c r="H99" s="415" t="s">
        <v>331</v>
      </c>
      <c r="I99" s="415" t="s">
        <v>505</v>
      </c>
      <c r="J99" s="415" t="s">
        <v>506</v>
      </c>
      <c r="K99" s="415">
        <v>13071822</v>
      </c>
      <c r="L99" s="41">
        <f>VLOOKUP(K99,WebPosting!$B$6:$B$561,1,FALSE)</f>
        <v>13071822</v>
      </c>
      <c r="M99" s="46">
        <f>(($V99*1000)*(IFERROR($T99-WebPosting!$K$1,"0")))</f>
        <v>0</v>
      </c>
      <c r="N99" s="43">
        <f t="shared" si="1"/>
        <v>100000</v>
      </c>
      <c r="O99" s="416" t="s">
        <v>672</v>
      </c>
      <c r="P99" s="416" t="s">
        <v>717</v>
      </c>
      <c r="Q99" s="416" t="s">
        <v>718</v>
      </c>
      <c r="R99" s="417">
        <v>41473</v>
      </c>
      <c r="S99" s="416" t="s">
        <v>696</v>
      </c>
      <c r="T99" s="416" t="s">
        <v>696</v>
      </c>
      <c r="U99" s="416">
        <v>0.05</v>
      </c>
      <c r="V99" s="418">
        <v>200000</v>
      </c>
      <c r="W99" s="419">
        <v>200000000</v>
      </c>
      <c r="X99" s="416" t="s">
        <v>666</v>
      </c>
      <c r="Y99" s="416" t="s">
        <v>698</v>
      </c>
      <c r="Z99" s="416" t="s">
        <v>664</v>
      </c>
      <c r="AA99" s="416" t="s">
        <v>665</v>
      </c>
      <c r="AB99" s="416" t="s">
        <v>666</v>
      </c>
      <c r="AC99" s="416" t="s">
        <v>666</v>
      </c>
    </row>
    <row r="100" spans="1:34">
      <c r="A100" s="415">
        <v>2</v>
      </c>
      <c r="B100" s="415" t="s">
        <v>343</v>
      </c>
      <c r="C100" s="415">
        <v>52</v>
      </c>
      <c r="D100" s="415" t="s">
        <v>507</v>
      </c>
      <c r="E100" s="415">
        <v>60</v>
      </c>
      <c r="F100" s="415" t="s">
        <v>508</v>
      </c>
      <c r="G100" s="415">
        <v>21</v>
      </c>
      <c r="H100" s="415" t="s">
        <v>509</v>
      </c>
      <c r="I100" s="415" t="s">
        <v>510</v>
      </c>
      <c r="J100" s="415" t="s">
        <v>511</v>
      </c>
      <c r="K100" s="415">
        <v>99070118</v>
      </c>
      <c r="L100" s="41" t="e">
        <f>VLOOKUP(K100,WebPosting!$B$6:$B$561,1,FALSE)</f>
        <v>#N/A</v>
      </c>
      <c r="M100" s="46">
        <f>(($V100*1000)*(IFERROR($T100-WebPosting!$K$1,"0")))</f>
        <v>0</v>
      </c>
      <c r="N100" s="43">
        <f t="shared" si="1"/>
        <v>0</v>
      </c>
      <c r="O100" s="416" t="s">
        <v>672</v>
      </c>
      <c r="P100" s="416" t="s">
        <v>719</v>
      </c>
      <c r="Q100" s="416" t="s">
        <v>720</v>
      </c>
      <c r="R100" s="417">
        <v>36342</v>
      </c>
      <c r="S100" s="416" t="s">
        <v>696</v>
      </c>
      <c r="T100" s="416" t="s">
        <v>696</v>
      </c>
      <c r="U100" s="416">
        <v>1.16737E-4</v>
      </c>
      <c r="V100" s="416"/>
      <c r="W100" s="416">
        <v>0</v>
      </c>
      <c r="X100" s="416" t="s">
        <v>666</v>
      </c>
      <c r="Y100" s="416" t="s">
        <v>698</v>
      </c>
      <c r="Z100" s="416" t="s">
        <v>664</v>
      </c>
      <c r="AA100" s="416" t="s">
        <v>665</v>
      </c>
      <c r="AB100" s="416" t="s">
        <v>666</v>
      </c>
      <c r="AC100" s="416" t="s">
        <v>666</v>
      </c>
    </row>
    <row r="101" spans="1:34">
      <c r="A101" s="415">
        <v>2</v>
      </c>
      <c r="B101" s="415" t="s">
        <v>343</v>
      </c>
      <c r="C101" s="415">
        <v>52</v>
      </c>
      <c r="D101" s="415" t="s">
        <v>507</v>
      </c>
      <c r="E101" s="415">
        <v>61</v>
      </c>
      <c r="F101" s="415" t="s">
        <v>508</v>
      </c>
      <c r="G101" s="415">
        <v>22</v>
      </c>
      <c r="H101" s="415" t="s">
        <v>512</v>
      </c>
      <c r="I101" s="415" t="s">
        <v>513</v>
      </c>
      <c r="J101" s="415" t="s">
        <v>514</v>
      </c>
      <c r="K101" s="415">
        <v>99070117</v>
      </c>
      <c r="L101" s="41" t="e">
        <f>VLOOKUP(K101,WebPosting!$B$6:$B$561,1,FALSE)</f>
        <v>#N/A</v>
      </c>
      <c r="M101" s="46">
        <f>(($V101*1000)*(IFERROR($T101-WebPosting!$K$1,"0")))</f>
        <v>0</v>
      </c>
      <c r="N101" s="43">
        <f t="shared" si="1"/>
        <v>0</v>
      </c>
      <c r="O101" s="416" t="s">
        <v>672</v>
      </c>
      <c r="P101" s="416" t="s">
        <v>721</v>
      </c>
      <c r="Q101" s="416" t="s">
        <v>722</v>
      </c>
      <c r="R101" s="417">
        <v>36342</v>
      </c>
      <c r="S101" s="416" t="s">
        <v>696</v>
      </c>
      <c r="T101" s="416" t="s">
        <v>696</v>
      </c>
      <c r="U101" s="416">
        <v>1.16737E-4</v>
      </c>
      <c r="V101" s="416"/>
      <c r="W101" s="416">
        <v>0</v>
      </c>
      <c r="X101" s="416" t="s">
        <v>666</v>
      </c>
      <c r="Y101" s="416" t="s">
        <v>698</v>
      </c>
      <c r="Z101" s="416" t="s">
        <v>664</v>
      </c>
      <c r="AA101" s="416" t="s">
        <v>665</v>
      </c>
      <c r="AB101" s="416" t="s">
        <v>666</v>
      </c>
      <c r="AC101" s="416" t="s">
        <v>666</v>
      </c>
    </row>
    <row r="102" spans="1:34">
      <c r="A102" s="415">
        <v>2</v>
      </c>
      <c r="B102" s="415" t="s">
        <v>343</v>
      </c>
      <c r="C102" s="415">
        <v>52</v>
      </c>
      <c r="D102" s="415" t="s">
        <v>507</v>
      </c>
      <c r="E102" s="415">
        <v>62</v>
      </c>
      <c r="F102" s="415" t="s">
        <v>515</v>
      </c>
      <c r="G102" s="415">
        <v>33</v>
      </c>
      <c r="H102" s="415" t="s">
        <v>516</v>
      </c>
      <c r="I102" s="415" t="s">
        <v>517</v>
      </c>
      <c r="J102" s="415" t="s">
        <v>518</v>
      </c>
      <c r="K102" s="415">
        <v>99070718</v>
      </c>
      <c r="L102" s="41" t="e">
        <f>VLOOKUP(K102,WebPosting!$B$6:$B$561,1,FALSE)</f>
        <v>#N/A</v>
      </c>
      <c r="M102" s="46">
        <f>(($V102*1000)*(IFERROR($T102-WebPosting!$K$1,"0")))</f>
        <v>0</v>
      </c>
      <c r="N102" s="43">
        <f t="shared" si="1"/>
        <v>0</v>
      </c>
      <c r="O102" s="416" t="s">
        <v>672</v>
      </c>
      <c r="P102" s="416" t="s">
        <v>723</v>
      </c>
      <c r="Q102" s="416" t="s">
        <v>724</v>
      </c>
      <c r="R102" s="417">
        <v>36348</v>
      </c>
      <c r="S102" s="416" t="s">
        <v>696</v>
      </c>
      <c r="T102" s="416" t="s">
        <v>696</v>
      </c>
      <c r="U102" s="416">
        <v>1.0767100000000001E-4</v>
      </c>
      <c r="V102" s="416"/>
      <c r="W102" s="416">
        <v>0</v>
      </c>
      <c r="X102" s="416" t="s">
        <v>666</v>
      </c>
      <c r="Y102" s="416" t="s">
        <v>698</v>
      </c>
      <c r="Z102" s="416" t="s">
        <v>664</v>
      </c>
      <c r="AA102" s="416" t="s">
        <v>665</v>
      </c>
      <c r="AB102" s="416" t="s">
        <v>666</v>
      </c>
      <c r="AC102" s="416" t="s">
        <v>666</v>
      </c>
      <c r="AG102" s="53"/>
      <c r="AH102" s="54"/>
    </row>
    <row r="103" spans="1:34">
      <c r="A103" s="415">
        <v>2</v>
      </c>
      <c r="B103" s="415" t="s">
        <v>343</v>
      </c>
      <c r="C103" s="415">
        <v>52</v>
      </c>
      <c r="D103" s="415" t="s">
        <v>507</v>
      </c>
      <c r="E103" s="415">
        <v>90</v>
      </c>
      <c r="F103" s="415" t="s">
        <v>519</v>
      </c>
      <c r="G103" s="415">
        <v>37</v>
      </c>
      <c r="H103" s="415" t="s">
        <v>520</v>
      </c>
      <c r="I103" s="415" t="s">
        <v>521</v>
      </c>
      <c r="J103" s="415" t="s">
        <v>522</v>
      </c>
      <c r="K103" s="415">
        <v>90619</v>
      </c>
      <c r="L103" s="41">
        <f>VLOOKUP(K103,WebPosting!$B$6:$B$561,1,FALSE)</f>
        <v>90619</v>
      </c>
      <c r="M103" s="46">
        <f>(($V103*1000)*(IFERROR($T103-WebPosting!$K$1,"0")))</f>
        <v>0</v>
      </c>
      <c r="N103" s="43">
        <f t="shared" si="1"/>
        <v>7.5999999999999998E-2</v>
      </c>
      <c r="O103" s="416" t="s">
        <v>672</v>
      </c>
      <c r="P103" s="416" t="s">
        <v>725</v>
      </c>
      <c r="Q103" s="416" t="s">
        <v>726</v>
      </c>
      <c r="R103" s="417">
        <v>36770</v>
      </c>
      <c r="S103" s="416" t="s">
        <v>696</v>
      </c>
      <c r="T103" s="416" t="s">
        <v>696</v>
      </c>
      <c r="U103" s="416">
        <v>1E-4</v>
      </c>
      <c r="V103" s="416">
        <v>76</v>
      </c>
      <c r="W103" s="419">
        <v>76481</v>
      </c>
      <c r="X103" s="416" t="s">
        <v>666</v>
      </c>
      <c r="Y103" s="416" t="s">
        <v>698</v>
      </c>
      <c r="Z103" s="416" t="s">
        <v>664</v>
      </c>
      <c r="AA103" s="416" t="s">
        <v>665</v>
      </c>
      <c r="AB103" s="416" t="s">
        <v>666</v>
      </c>
      <c r="AC103" s="416" t="s">
        <v>666</v>
      </c>
      <c r="AG103" s="53"/>
      <c r="AH103" s="54"/>
    </row>
    <row r="104" spans="1:34">
      <c r="A104" s="415">
        <v>2</v>
      </c>
      <c r="B104" s="415" t="s">
        <v>343</v>
      </c>
      <c r="C104" s="415">
        <v>52</v>
      </c>
      <c r="D104" s="415" t="s">
        <v>507</v>
      </c>
      <c r="E104" s="415">
        <v>91</v>
      </c>
      <c r="F104" s="415" t="s">
        <v>523</v>
      </c>
      <c r="G104" s="415">
        <v>37</v>
      </c>
      <c r="H104" s="415" t="s">
        <v>520</v>
      </c>
      <c r="I104" s="415" t="s">
        <v>524</v>
      </c>
      <c r="J104" s="415" t="s">
        <v>525</v>
      </c>
      <c r="K104" s="415">
        <v>15121115</v>
      </c>
      <c r="L104" s="41">
        <f>VLOOKUP(K104,WebPosting!$B$6:$B$561,1,FALSE)</f>
        <v>15121115</v>
      </c>
      <c r="M104" s="46">
        <f>(($V104*1000)*(IFERROR($T104-WebPosting!$K$1,"0")))</f>
        <v>0</v>
      </c>
      <c r="N104" s="43">
        <f t="shared" si="1"/>
        <v>0.28499999999999998</v>
      </c>
      <c r="O104" s="416" t="s">
        <v>672</v>
      </c>
      <c r="P104" s="416" t="s">
        <v>725</v>
      </c>
      <c r="Q104" s="416" t="s">
        <v>726</v>
      </c>
      <c r="R104" s="417">
        <v>42347</v>
      </c>
      <c r="S104" s="416" t="s">
        <v>696</v>
      </c>
      <c r="T104" s="416" t="s">
        <v>696</v>
      </c>
      <c r="U104" s="416">
        <v>1E-4</v>
      </c>
      <c r="V104" s="416">
        <v>285</v>
      </c>
      <c r="W104" s="419">
        <v>285135</v>
      </c>
      <c r="X104" s="416" t="s">
        <v>666</v>
      </c>
      <c r="Y104" s="416" t="s">
        <v>698</v>
      </c>
      <c r="Z104" s="416" t="s">
        <v>664</v>
      </c>
      <c r="AA104" s="416" t="s">
        <v>665</v>
      </c>
      <c r="AB104" s="416" t="s">
        <v>666</v>
      </c>
      <c r="AC104" s="416" t="s">
        <v>666</v>
      </c>
      <c r="AH104" s="54"/>
    </row>
    <row r="105" spans="1:34">
      <c r="A105" s="415">
        <v>2</v>
      </c>
      <c r="B105" s="415" t="s">
        <v>343</v>
      </c>
      <c r="C105" s="415">
        <v>52</v>
      </c>
      <c r="D105" s="415" t="s">
        <v>507</v>
      </c>
      <c r="E105" s="415">
        <v>92</v>
      </c>
      <c r="F105" s="415" t="s">
        <v>526</v>
      </c>
      <c r="G105" s="415">
        <v>37</v>
      </c>
      <c r="H105" s="415" t="s">
        <v>520</v>
      </c>
      <c r="I105" s="415" t="s">
        <v>527</v>
      </c>
      <c r="J105" s="415" t="s">
        <v>528</v>
      </c>
      <c r="K105" s="415">
        <v>15121623</v>
      </c>
      <c r="L105" s="41">
        <f>VLOOKUP(K105,WebPosting!$B$6:$B$561,1,FALSE)</f>
        <v>15121623</v>
      </c>
      <c r="M105" s="46">
        <f>(($V105*1000)*(IFERROR($T105-WebPosting!$K$1,"0")))</f>
        <v>0</v>
      </c>
      <c r="N105" s="43">
        <f t="shared" si="1"/>
        <v>0.23099999999999998</v>
      </c>
      <c r="O105" s="416" t="s">
        <v>672</v>
      </c>
      <c r="P105" s="416" t="s">
        <v>725</v>
      </c>
      <c r="Q105" s="416" t="s">
        <v>726</v>
      </c>
      <c r="R105" s="417">
        <v>42349</v>
      </c>
      <c r="S105" s="416" t="s">
        <v>696</v>
      </c>
      <c r="T105" s="416" t="s">
        <v>696</v>
      </c>
      <c r="U105" s="416">
        <v>1E-4</v>
      </c>
      <c r="V105" s="416">
        <v>231</v>
      </c>
      <c r="W105" s="419">
        <v>230920</v>
      </c>
      <c r="X105" s="416" t="s">
        <v>666</v>
      </c>
      <c r="Y105" s="416" t="s">
        <v>698</v>
      </c>
      <c r="Z105" s="416" t="s">
        <v>664</v>
      </c>
      <c r="AA105" s="416" t="s">
        <v>665</v>
      </c>
      <c r="AB105" s="416" t="s">
        <v>666</v>
      </c>
      <c r="AC105" s="416" t="s">
        <v>666</v>
      </c>
    </row>
    <row r="106" spans="1:34">
      <c r="A106" s="415">
        <v>2</v>
      </c>
      <c r="B106" s="415" t="s">
        <v>343</v>
      </c>
      <c r="C106" s="415">
        <v>52</v>
      </c>
      <c r="D106" s="415" t="s">
        <v>507</v>
      </c>
      <c r="E106" s="415">
        <v>93</v>
      </c>
      <c r="F106" s="415" t="s">
        <v>529</v>
      </c>
      <c r="G106" s="415">
        <v>37</v>
      </c>
      <c r="H106" s="415" t="s">
        <v>520</v>
      </c>
      <c r="I106" s="415" t="s">
        <v>530</v>
      </c>
      <c r="J106" s="415" t="s">
        <v>361</v>
      </c>
      <c r="K106" s="415">
        <v>16030810</v>
      </c>
      <c r="L106" s="41" t="e">
        <f>VLOOKUP(K106,WebPosting!$B$6:$B$561,1,FALSE)</f>
        <v>#N/A</v>
      </c>
      <c r="M106" s="46">
        <f>(($V106*1000)*(IFERROR($T106-WebPosting!$K$1,"0")))</f>
        <v>0</v>
      </c>
      <c r="N106" s="43">
        <f t="shared" si="1"/>
        <v>0</v>
      </c>
      <c r="O106" s="416" t="s">
        <v>672</v>
      </c>
      <c r="P106" s="416" t="s">
        <v>727</v>
      </c>
      <c r="Q106" s="416" t="s">
        <v>728</v>
      </c>
      <c r="R106" s="417">
        <v>42431</v>
      </c>
      <c r="S106" s="416" t="s">
        <v>696</v>
      </c>
      <c r="T106" s="416" t="s">
        <v>696</v>
      </c>
      <c r="U106" s="416">
        <v>1E-4</v>
      </c>
      <c r="V106" s="416"/>
      <c r="W106" s="416">
        <v>0</v>
      </c>
      <c r="X106" s="416" t="s">
        <v>666</v>
      </c>
      <c r="Y106" s="416" t="s">
        <v>698</v>
      </c>
      <c r="Z106" s="416" t="s">
        <v>664</v>
      </c>
      <c r="AA106" s="416" t="s">
        <v>665</v>
      </c>
      <c r="AB106" s="416" t="s">
        <v>666</v>
      </c>
      <c r="AC106" s="416" t="s">
        <v>666</v>
      </c>
    </row>
    <row r="107" spans="1:34">
      <c r="A107" s="415">
        <v>2</v>
      </c>
      <c r="B107" s="415" t="s">
        <v>343</v>
      </c>
      <c r="C107" s="415">
        <v>52</v>
      </c>
      <c r="D107" s="415" t="s">
        <v>507</v>
      </c>
      <c r="E107" s="415">
        <v>95</v>
      </c>
      <c r="F107" s="415" t="s">
        <v>531</v>
      </c>
      <c r="G107" s="415">
        <v>37</v>
      </c>
      <c r="H107" s="415" t="s">
        <v>520</v>
      </c>
      <c r="I107" s="415" t="s">
        <v>530</v>
      </c>
      <c r="J107" s="415" t="s">
        <v>361</v>
      </c>
      <c r="K107" s="415">
        <v>17031618</v>
      </c>
      <c r="L107" s="41" t="e">
        <f>VLOOKUP(K107,WebPosting!$B$6:$B$561,1,FALSE)</f>
        <v>#N/A</v>
      </c>
      <c r="M107" s="46">
        <f>(($V107*1000)*(IFERROR($T107-WebPosting!$K$1,"0")))</f>
        <v>0</v>
      </c>
      <c r="N107" s="43">
        <f t="shared" si="1"/>
        <v>0</v>
      </c>
      <c r="O107" s="416" t="s">
        <v>672</v>
      </c>
      <c r="P107" s="416" t="s">
        <v>729</v>
      </c>
      <c r="Q107" s="416" t="s">
        <v>730</v>
      </c>
      <c r="R107" s="417">
        <v>42793</v>
      </c>
      <c r="S107" s="416" t="s">
        <v>696</v>
      </c>
      <c r="T107" s="416" t="s">
        <v>696</v>
      </c>
      <c r="U107" s="416">
        <v>4.1099999999999996E-6</v>
      </c>
      <c r="V107" s="416"/>
      <c r="W107" s="416">
        <v>0</v>
      </c>
      <c r="X107" s="416" t="s">
        <v>666</v>
      </c>
      <c r="Y107" s="416" t="s">
        <v>698</v>
      </c>
      <c r="Z107" s="416" t="s">
        <v>664</v>
      </c>
      <c r="AA107" s="416" t="s">
        <v>665</v>
      </c>
      <c r="AB107" s="416" t="s">
        <v>666</v>
      </c>
      <c r="AC107" s="416" t="s">
        <v>666</v>
      </c>
    </row>
    <row r="108" spans="1:34">
      <c r="A108" s="415">
        <v>2</v>
      </c>
      <c r="B108" s="415" t="s">
        <v>343</v>
      </c>
      <c r="C108" s="415">
        <v>52</v>
      </c>
      <c r="D108" s="415" t="s">
        <v>507</v>
      </c>
      <c r="E108" s="415">
        <v>96</v>
      </c>
      <c r="F108" s="415" t="s">
        <v>532</v>
      </c>
      <c r="G108" s="415">
        <v>37</v>
      </c>
      <c r="H108" s="415" t="s">
        <v>520</v>
      </c>
      <c r="I108" s="415" t="s">
        <v>530</v>
      </c>
      <c r="J108" s="415" t="s">
        <v>361</v>
      </c>
      <c r="K108" s="415">
        <v>17031619</v>
      </c>
      <c r="L108" s="41" t="e">
        <f>VLOOKUP(K108,WebPosting!$B$6:$B$561,1,FALSE)</f>
        <v>#N/A</v>
      </c>
      <c r="M108" s="46">
        <f>(($V108*1000)*(IFERROR($T108-WebPosting!$K$1,"0")))</f>
        <v>0</v>
      </c>
      <c r="N108" s="43">
        <f t="shared" si="1"/>
        <v>0</v>
      </c>
      <c r="O108" s="416" t="s">
        <v>672</v>
      </c>
      <c r="P108" s="416" t="s">
        <v>731</v>
      </c>
      <c r="Q108" s="416" t="s">
        <v>732</v>
      </c>
      <c r="R108" s="417">
        <v>42795</v>
      </c>
      <c r="S108" s="416" t="s">
        <v>696</v>
      </c>
      <c r="T108" s="416" t="s">
        <v>696</v>
      </c>
      <c r="U108" s="416">
        <v>4.1099999999999996E-6</v>
      </c>
      <c r="V108" s="416"/>
      <c r="W108" s="416">
        <v>0</v>
      </c>
      <c r="X108" s="416" t="s">
        <v>666</v>
      </c>
      <c r="Y108" s="416" t="s">
        <v>698</v>
      </c>
      <c r="Z108" s="416" t="s">
        <v>664</v>
      </c>
      <c r="AA108" s="416" t="s">
        <v>665</v>
      </c>
      <c r="AB108" s="416" t="s">
        <v>666</v>
      </c>
      <c r="AC108" s="416" t="s">
        <v>666</v>
      </c>
    </row>
    <row r="109" spans="1:34">
      <c r="A109" s="415">
        <v>2</v>
      </c>
      <c r="B109" s="415" t="s">
        <v>343</v>
      </c>
      <c r="C109" s="415">
        <v>52</v>
      </c>
      <c r="D109" s="415" t="s">
        <v>507</v>
      </c>
      <c r="E109" s="415">
        <v>97</v>
      </c>
      <c r="F109" s="415" t="s">
        <v>533</v>
      </c>
      <c r="G109" s="415">
        <v>37</v>
      </c>
      <c r="H109" s="415" t="s">
        <v>520</v>
      </c>
      <c r="I109" s="415" t="s">
        <v>530</v>
      </c>
      <c r="J109" s="415" t="s">
        <v>361</v>
      </c>
      <c r="K109" s="415">
        <v>17031620</v>
      </c>
      <c r="L109" s="41" t="e">
        <f>VLOOKUP(K109,WebPosting!$B$6:$B$561,1,FALSE)</f>
        <v>#N/A</v>
      </c>
      <c r="M109" s="46">
        <f>(($V109*1000)*(IFERROR($T109-WebPosting!$K$1,"0")))</f>
        <v>0</v>
      </c>
      <c r="N109" s="43">
        <f t="shared" si="1"/>
        <v>0</v>
      </c>
      <c r="O109" s="416" t="s">
        <v>672</v>
      </c>
      <c r="P109" s="416" t="s">
        <v>733</v>
      </c>
      <c r="Q109" s="416" t="s">
        <v>734</v>
      </c>
      <c r="R109" s="417">
        <v>42795</v>
      </c>
      <c r="S109" s="416" t="s">
        <v>696</v>
      </c>
      <c r="T109" s="416" t="s">
        <v>696</v>
      </c>
      <c r="U109" s="416">
        <v>4.1099999999999996E-6</v>
      </c>
      <c r="V109" s="416"/>
      <c r="W109" s="416">
        <v>0</v>
      </c>
      <c r="X109" s="416" t="s">
        <v>666</v>
      </c>
      <c r="Y109" s="416" t="s">
        <v>698</v>
      </c>
      <c r="Z109" s="416" t="s">
        <v>664</v>
      </c>
      <c r="AA109" s="416" t="s">
        <v>665</v>
      </c>
      <c r="AB109" s="416" t="s">
        <v>666</v>
      </c>
      <c r="AC109" s="416" t="s">
        <v>666</v>
      </c>
      <c r="AG109" s="53"/>
      <c r="AH109" s="54"/>
    </row>
    <row r="110" spans="1:34">
      <c r="A110" s="415">
        <v>2</v>
      </c>
      <c r="B110" s="415" t="s">
        <v>343</v>
      </c>
      <c r="C110" s="415">
        <v>52</v>
      </c>
      <c r="D110" s="415" t="s">
        <v>507</v>
      </c>
      <c r="E110" s="415">
        <v>98</v>
      </c>
      <c r="F110" s="415" t="s">
        <v>534</v>
      </c>
      <c r="G110" s="415">
        <v>37</v>
      </c>
      <c r="H110" s="415" t="s">
        <v>520</v>
      </c>
      <c r="I110" s="415" t="s">
        <v>530</v>
      </c>
      <c r="J110" s="415" t="s">
        <v>361</v>
      </c>
      <c r="K110" s="415">
        <v>17031621</v>
      </c>
      <c r="L110" s="41" t="e">
        <f>VLOOKUP(K110,WebPosting!$B$6:$B$561,1,FALSE)</f>
        <v>#N/A</v>
      </c>
      <c r="M110" s="46">
        <f>(($V110*1000)*(IFERROR($T110-WebPosting!$K$1,"0")))</f>
        <v>0</v>
      </c>
      <c r="N110" s="43">
        <f t="shared" si="1"/>
        <v>0</v>
      </c>
      <c r="O110" s="416" t="s">
        <v>672</v>
      </c>
      <c r="P110" s="416" t="s">
        <v>735</v>
      </c>
      <c r="Q110" s="416" t="s">
        <v>736</v>
      </c>
      <c r="R110" s="417">
        <v>42795</v>
      </c>
      <c r="S110" s="416" t="s">
        <v>696</v>
      </c>
      <c r="T110" s="416" t="s">
        <v>696</v>
      </c>
      <c r="U110" s="416">
        <v>4.1099999999999996E-6</v>
      </c>
      <c r="V110" s="416"/>
      <c r="W110" s="416">
        <v>0</v>
      </c>
      <c r="X110" s="416" t="s">
        <v>666</v>
      </c>
      <c r="Y110" s="416" t="s">
        <v>698</v>
      </c>
      <c r="Z110" s="416" t="s">
        <v>664</v>
      </c>
      <c r="AA110" s="416" t="s">
        <v>665</v>
      </c>
      <c r="AB110" s="416" t="s">
        <v>666</v>
      </c>
      <c r="AC110" s="416" t="s">
        <v>666</v>
      </c>
      <c r="AG110" s="53"/>
      <c r="AH110" s="54"/>
    </row>
    <row r="111" spans="1:34">
      <c r="A111" s="415">
        <v>2</v>
      </c>
      <c r="B111" s="415" t="s">
        <v>535</v>
      </c>
      <c r="C111" s="415">
        <v>53</v>
      </c>
      <c r="D111" s="415" t="s">
        <v>536</v>
      </c>
      <c r="E111" s="415">
        <v>43</v>
      </c>
      <c r="F111" s="415" t="s">
        <v>537</v>
      </c>
      <c r="G111" s="415">
        <v>38</v>
      </c>
      <c r="H111" s="415" t="s">
        <v>538</v>
      </c>
      <c r="I111" s="415" t="s">
        <v>539</v>
      </c>
      <c r="J111" s="415" t="s">
        <v>540</v>
      </c>
      <c r="K111" s="415">
        <v>5092109</v>
      </c>
      <c r="L111" s="41" t="e">
        <f>VLOOKUP(K111,WebPosting!$B$6:$B$561,1,FALSE)</f>
        <v>#N/A</v>
      </c>
      <c r="M111" s="46">
        <f>(($V111*1000)*(IFERROR($T111-WebPosting!$K$1,"0")))</f>
        <v>0</v>
      </c>
      <c r="N111" s="43">
        <f t="shared" si="1"/>
        <v>0</v>
      </c>
      <c r="O111" s="416" t="s">
        <v>672</v>
      </c>
      <c r="P111" s="416" t="s">
        <v>737</v>
      </c>
      <c r="Q111" s="416" t="s">
        <v>538</v>
      </c>
      <c r="R111" s="417">
        <v>38596</v>
      </c>
      <c r="S111" s="416" t="s">
        <v>696</v>
      </c>
      <c r="T111" s="416" t="s">
        <v>696</v>
      </c>
      <c r="U111" s="416">
        <v>1E-3</v>
      </c>
      <c r="V111" s="416"/>
      <c r="W111" s="416">
        <v>0</v>
      </c>
      <c r="X111" s="416" t="s">
        <v>666</v>
      </c>
      <c r="Y111" s="416" t="s">
        <v>698</v>
      </c>
      <c r="Z111" s="416" t="s">
        <v>664</v>
      </c>
      <c r="AA111" s="416" t="s">
        <v>665</v>
      </c>
      <c r="AB111" s="416" t="s">
        <v>666</v>
      </c>
      <c r="AC111" s="416" t="s">
        <v>666</v>
      </c>
      <c r="AG111" s="53"/>
      <c r="AH111" s="54"/>
    </row>
    <row r="112" spans="1:34">
      <c r="A112" s="415">
        <v>2</v>
      </c>
      <c r="B112" s="415" t="s">
        <v>535</v>
      </c>
      <c r="C112" s="415">
        <v>53</v>
      </c>
      <c r="D112" s="415" t="s">
        <v>536</v>
      </c>
      <c r="E112" s="415">
        <v>60</v>
      </c>
      <c r="F112" s="415" t="s">
        <v>541</v>
      </c>
      <c r="G112" s="415">
        <v>38</v>
      </c>
      <c r="H112" s="415" t="s">
        <v>538</v>
      </c>
      <c r="I112" s="415" t="s">
        <v>542</v>
      </c>
      <c r="J112" s="415" t="s">
        <v>543</v>
      </c>
      <c r="K112" s="415">
        <v>5092207</v>
      </c>
      <c r="L112" s="41" t="e">
        <f>VLOOKUP(K112,WebPosting!$B$6:$B$561,1,FALSE)</f>
        <v>#N/A</v>
      </c>
      <c r="M112" s="46">
        <f>(($V112*1000)*(IFERROR($T112-WebPosting!$K$1,"0")))</f>
        <v>0</v>
      </c>
      <c r="N112" s="43">
        <f t="shared" si="1"/>
        <v>0</v>
      </c>
      <c r="O112" s="416" t="s">
        <v>672</v>
      </c>
      <c r="P112" s="416" t="s">
        <v>737</v>
      </c>
      <c r="Q112" s="416" t="s">
        <v>538</v>
      </c>
      <c r="R112" s="417">
        <v>38597</v>
      </c>
      <c r="S112" s="416" t="s">
        <v>696</v>
      </c>
      <c r="T112" s="416" t="s">
        <v>696</v>
      </c>
      <c r="U112" s="416">
        <v>1E-3</v>
      </c>
      <c r="V112" s="416"/>
      <c r="W112" s="416">
        <v>0</v>
      </c>
      <c r="X112" s="416" t="s">
        <v>666</v>
      </c>
      <c r="Y112" s="416" t="s">
        <v>698</v>
      </c>
      <c r="Z112" s="416" t="s">
        <v>664</v>
      </c>
      <c r="AA112" s="416" t="s">
        <v>665</v>
      </c>
      <c r="AB112" s="416" t="s">
        <v>666</v>
      </c>
      <c r="AC112" s="416" t="s">
        <v>666</v>
      </c>
    </row>
    <row r="113" spans="1:34">
      <c r="A113" s="415">
        <v>2</v>
      </c>
      <c r="B113" s="415" t="s">
        <v>535</v>
      </c>
      <c r="C113" s="415">
        <v>53</v>
      </c>
      <c r="D113" s="415" t="s">
        <v>536</v>
      </c>
      <c r="E113" s="415">
        <v>61</v>
      </c>
      <c r="F113" s="415" t="s">
        <v>544</v>
      </c>
      <c r="G113" s="415">
        <v>38</v>
      </c>
      <c r="H113" s="415" t="s">
        <v>538</v>
      </c>
      <c r="I113" s="415" t="s">
        <v>545</v>
      </c>
      <c r="J113" s="415" t="s">
        <v>546</v>
      </c>
      <c r="K113" s="415">
        <v>5091208</v>
      </c>
      <c r="L113" s="41" t="e">
        <f>VLOOKUP(K113,WebPosting!$B$6:$B$561,1,FALSE)</f>
        <v>#N/A</v>
      </c>
      <c r="M113" s="46">
        <f>(($V113*1000)*(IFERROR($T113-WebPosting!$K$1,"0")))</f>
        <v>0</v>
      </c>
      <c r="N113" s="43">
        <f t="shared" si="1"/>
        <v>0</v>
      </c>
      <c r="O113" s="416" t="s">
        <v>672</v>
      </c>
      <c r="P113" s="416" t="s">
        <v>737</v>
      </c>
      <c r="Q113" s="416" t="s">
        <v>538</v>
      </c>
      <c r="R113" s="417">
        <v>38596</v>
      </c>
      <c r="S113" s="416" t="s">
        <v>696</v>
      </c>
      <c r="T113" s="416" t="s">
        <v>696</v>
      </c>
      <c r="U113" s="416">
        <v>1E-3</v>
      </c>
      <c r="V113" s="416"/>
      <c r="W113" s="416">
        <v>0</v>
      </c>
      <c r="X113" s="416" t="s">
        <v>666</v>
      </c>
      <c r="Y113" s="416" t="s">
        <v>698</v>
      </c>
      <c r="Z113" s="416" t="s">
        <v>664</v>
      </c>
      <c r="AA113" s="416" t="s">
        <v>665</v>
      </c>
      <c r="AB113" s="416" t="s">
        <v>666</v>
      </c>
      <c r="AC113" s="416" t="s">
        <v>666</v>
      </c>
    </row>
    <row r="114" spans="1:34">
      <c r="A114" s="415">
        <v>2</v>
      </c>
      <c r="B114" s="415" t="s">
        <v>535</v>
      </c>
      <c r="C114" s="415">
        <v>53</v>
      </c>
      <c r="D114" s="415" t="s">
        <v>536</v>
      </c>
      <c r="E114" s="415">
        <v>63</v>
      </c>
      <c r="F114" s="415" t="s">
        <v>547</v>
      </c>
      <c r="G114" s="415">
        <v>38</v>
      </c>
      <c r="H114" s="415" t="s">
        <v>538</v>
      </c>
      <c r="I114" s="415" t="s">
        <v>548</v>
      </c>
      <c r="J114" s="415" t="s">
        <v>549</v>
      </c>
      <c r="K114" s="415">
        <v>5092209</v>
      </c>
      <c r="L114" s="41" t="e">
        <f>VLOOKUP(K114,WebPosting!$B$6:$B$561,1,FALSE)</f>
        <v>#N/A</v>
      </c>
      <c r="M114" s="46">
        <f>(($V114*1000)*(IFERROR($T114-WebPosting!$K$1,"0")))</f>
        <v>0</v>
      </c>
      <c r="N114" s="43">
        <f t="shared" si="1"/>
        <v>0</v>
      </c>
      <c r="O114" s="416" t="s">
        <v>672</v>
      </c>
      <c r="P114" s="416" t="s">
        <v>737</v>
      </c>
      <c r="Q114" s="416" t="s">
        <v>538</v>
      </c>
      <c r="R114" s="417">
        <v>38597</v>
      </c>
      <c r="S114" s="416" t="s">
        <v>696</v>
      </c>
      <c r="T114" s="416" t="s">
        <v>696</v>
      </c>
      <c r="U114" s="416">
        <v>1E-3</v>
      </c>
      <c r="V114" s="416"/>
      <c r="W114" s="416">
        <v>0</v>
      </c>
      <c r="X114" s="416" t="s">
        <v>666</v>
      </c>
      <c r="Y114" s="416" t="s">
        <v>698</v>
      </c>
      <c r="Z114" s="416" t="s">
        <v>664</v>
      </c>
      <c r="AA114" s="416" t="s">
        <v>665</v>
      </c>
      <c r="AB114" s="416" t="s">
        <v>666</v>
      </c>
      <c r="AC114" s="416" t="s">
        <v>666</v>
      </c>
    </row>
    <row r="115" spans="1:34">
      <c r="A115" s="415">
        <v>2</v>
      </c>
      <c r="B115" s="415" t="s">
        <v>535</v>
      </c>
      <c r="C115" s="415">
        <v>54</v>
      </c>
      <c r="D115" s="415" t="s">
        <v>550</v>
      </c>
      <c r="E115" s="415">
        <v>10</v>
      </c>
      <c r="F115" s="415" t="s">
        <v>551</v>
      </c>
      <c r="G115" s="415">
        <v>36</v>
      </c>
      <c r="H115" s="415" t="s">
        <v>350</v>
      </c>
      <c r="I115" s="415" t="s">
        <v>552</v>
      </c>
      <c r="J115" s="415" t="s">
        <v>553</v>
      </c>
      <c r="K115" s="415">
        <v>9060201</v>
      </c>
      <c r="L115" s="41" t="e">
        <f>VLOOKUP(K115,WebPosting!$B$6:$B$561,1,FALSE)</f>
        <v>#N/A</v>
      </c>
      <c r="M115" s="46">
        <f>(($V115*1000)*(IFERROR($T115-WebPosting!$K$1,"0")))</f>
        <v>0</v>
      </c>
      <c r="N115" s="43">
        <f t="shared" si="1"/>
        <v>0</v>
      </c>
      <c r="O115" s="416" t="s">
        <v>672</v>
      </c>
      <c r="P115" s="416" t="s">
        <v>695</v>
      </c>
      <c r="Q115" s="416" t="s">
        <v>371</v>
      </c>
      <c r="R115" s="417">
        <v>39965</v>
      </c>
      <c r="S115" s="416" t="s">
        <v>696</v>
      </c>
      <c r="T115" s="416" t="s">
        <v>696</v>
      </c>
      <c r="U115" s="416">
        <v>1</v>
      </c>
      <c r="V115" s="416"/>
      <c r="W115" s="416">
        <v>0</v>
      </c>
      <c r="X115" s="416" t="s">
        <v>666</v>
      </c>
      <c r="Y115" s="416" t="s">
        <v>738</v>
      </c>
      <c r="Z115" s="416" t="s">
        <v>664</v>
      </c>
      <c r="AA115" s="416" t="s">
        <v>665</v>
      </c>
      <c r="AB115" s="416" t="s">
        <v>666</v>
      </c>
      <c r="AC115" s="416" t="s">
        <v>666</v>
      </c>
      <c r="AH115" s="54"/>
    </row>
    <row r="116" spans="1:34">
      <c r="A116" s="415">
        <v>2</v>
      </c>
      <c r="B116" s="415" t="s">
        <v>535</v>
      </c>
      <c r="C116" s="415">
        <v>55</v>
      </c>
      <c r="D116" s="415" t="s">
        <v>554</v>
      </c>
      <c r="E116" s="415">
        <v>10</v>
      </c>
      <c r="F116" s="415" t="s">
        <v>551</v>
      </c>
      <c r="G116" s="415">
        <v>75</v>
      </c>
      <c r="H116" s="415" t="s">
        <v>555</v>
      </c>
      <c r="I116" s="415" t="s">
        <v>556</v>
      </c>
      <c r="J116" s="415" t="s">
        <v>557</v>
      </c>
      <c r="K116" s="415">
        <v>9061612</v>
      </c>
      <c r="L116" s="41" t="e">
        <f>VLOOKUP(K116,WebPosting!$B$6:$B$561,1,FALSE)</f>
        <v>#N/A</v>
      </c>
      <c r="M116" s="46">
        <f>(($V116*1000)*(IFERROR($T116-WebPosting!$K$1,"0")))</f>
        <v>0</v>
      </c>
      <c r="N116" s="43">
        <f t="shared" si="1"/>
        <v>0</v>
      </c>
      <c r="O116" s="416" t="s">
        <v>672</v>
      </c>
      <c r="P116" s="416" t="s">
        <v>739</v>
      </c>
      <c r="Q116" s="416" t="s">
        <v>555</v>
      </c>
      <c r="R116" s="417">
        <v>39980</v>
      </c>
      <c r="S116" s="416" t="s">
        <v>696</v>
      </c>
      <c r="T116" s="416" t="s">
        <v>696</v>
      </c>
      <c r="U116" s="416">
        <v>1</v>
      </c>
      <c r="V116" s="416"/>
      <c r="W116" s="416">
        <v>0</v>
      </c>
      <c r="X116" s="416" t="s">
        <v>666</v>
      </c>
      <c r="Y116" s="416" t="s">
        <v>738</v>
      </c>
      <c r="Z116" s="416" t="s">
        <v>664</v>
      </c>
      <c r="AA116" s="416" t="s">
        <v>665</v>
      </c>
      <c r="AB116" s="416" t="s">
        <v>666</v>
      </c>
      <c r="AC116" s="416" t="s">
        <v>666</v>
      </c>
    </row>
    <row r="117" spans="1:34">
      <c r="A117" s="415">
        <v>2</v>
      </c>
      <c r="B117" s="415" t="s">
        <v>343</v>
      </c>
      <c r="C117" s="415">
        <v>56</v>
      </c>
      <c r="D117" s="415" t="s">
        <v>558</v>
      </c>
      <c r="E117" s="415">
        <v>10</v>
      </c>
      <c r="F117" s="415" t="s">
        <v>559</v>
      </c>
      <c r="G117" s="415">
        <v>90</v>
      </c>
      <c r="H117" s="415" t="s">
        <v>435</v>
      </c>
      <c r="I117" s="415" t="s">
        <v>560</v>
      </c>
      <c r="J117" s="415" t="s">
        <v>561</v>
      </c>
      <c r="K117" s="415">
        <v>9080512</v>
      </c>
      <c r="L117" s="41">
        <f>VLOOKUP(K117,WebPosting!$B$6:$B$561,1,FALSE)</f>
        <v>9080512</v>
      </c>
      <c r="M117" s="46">
        <f>(($V117*1000)*(IFERROR($T117-WebPosting!$K$1,"0")))</f>
        <v>0</v>
      </c>
      <c r="N117" s="43">
        <f t="shared" si="1"/>
        <v>160562798.7534</v>
      </c>
      <c r="O117" s="416" t="s">
        <v>672</v>
      </c>
      <c r="P117" s="416" t="s">
        <v>699</v>
      </c>
      <c r="Q117" s="416" t="s">
        <v>700</v>
      </c>
      <c r="R117" s="417">
        <v>40025</v>
      </c>
      <c r="S117" s="416" t="s">
        <v>696</v>
      </c>
      <c r="T117" s="416" t="s">
        <v>696</v>
      </c>
      <c r="U117" s="416">
        <v>9.7504200000000001</v>
      </c>
      <c r="V117" s="418">
        <v>1646727</v>
      </c>
      <c r="W117" s="419">
        <v>1646726520.5899999</v>
      </c>
      <c r="X117" s="416" t="s">
        <v>666</v>
      </c>
      <c r="Y117" s="416" t="s">
        <v>663</v>
      </c>
      <c r="Z117" s="416" t="s">
        <v>664</v>
      </c>
      <c r="AA117" s="416" t="s">
        <v>665</v>
      </c>
      <c r="AB117" s="416" t="s">
        <v>666</v>
      </c>
      <c r="AC117" s="416" t="s">
        <v>666</v>
      </c>
    </row>
    <row r="118" spans="1:34">
      <c r="A118" s="415">
        <v>2</v>
      </c>
      <c r="B118" s="415" t="s">
        <v>535</v>
      </c>
      <c r="C118" s="415">
        <v>57</v>
      </c>
      <c r="D118" s="415" t="s">
        <v>562</v>
      </c>
      <c r="E118" s="415">
        <v>10</v>
      </c>
      <c r="F118" s="415" t="s">
        <v>551</v>
      </c>
      <c r="G118" s="415">
        <v>89</v>
      </c>
      <c r="H118" s="415" t="s">
        <v>563</v>
      </c>
      <c r="I118" s="415" t="s">
        <v>564</v>
      </c>
      <c r="J118" s="415" t="s">
        <v>565</v>
      </c>
      <c r="K118" s="415">
        <v>9092211</v>
      </c>
      <c r="L118" s="41" t="e">
        <f>VLOOKUP(K118,WebPosting!$B$6:$B$561,1,FALSE)</f>
        <v>#N/A</v>
      </c>
      <c r="M118" s="46">
        <f>(($V118*1000)*(IFERROR($T118-WebPosting!$K$1,"0")))</f>
        <v>0</v>
      </c>
      <c r="N118" s="43">
        <f t="shared" si="1"/>
        <v>0</v>
      </c>
      <c r="O118" s="416" t="s">
        <v>672</v>
      </c>
      <c r="P118" s="416" t="s">
        <v>740</v>
      </c>
      <c r="Q118" s="416" t="s">
        <v>563</v>
      </c>
      <c r="R118" s="417">
        <v>40078</v>
      </c>
      <c r="S118" s="416" t="s">
        <v>696</v>
      </c>
      <c r="T118" s="416" t="s">
        <v>696</v>
      </c>
      <c r="U118" s="416">
        <v>0.5</v>
      </c>
      <c r="V118" s="416"/>
      <c r="W118" s="416">
        <v>0</v>
      </c>
      <c r="X118" s="416" t="s">
        <v>666</v>
      </c>
      <c r="Y118" s="416" t="s">
        <v>663</v>
      </c>
      <c r="Z118" s="416" t="s">
        <v>664</v>
      </c>
      <c r="AA118" s="416" t="s">
        <v>665</v>
      </c>
      <c r="AB118" s="416" t="s">
        <v>666</v>
      </c>
      <c r="AC118" s="416" t="s">
        <v>666</v>
      </c>
    </row>
    <row r="119" spans="1:34">
      <c r="A119" s="415">
        <v>2</v>
      </c>
      <c r="B119" s="415" t="s">
        <v>343</v>
      </c>
      <c r="C119" s="415">
        <v>58</v>
      </c>
      <c r="D119" s="415" t="s">
        <v>566</v>
      </c>
      <c r="E119" s="415">
        <v>10</v>
      </c>
      <c r="F119" s="415" t="s">
        <v>567</v>
      </c>
      <c r="G119" s="415">
        <v>90</v>
      </c>
      <c r="H119" s="415" t="s">
        <v>435</v>
      </c>
      <c r="I119" s="415" t="s">
        <v>568</v>
      </c>
      <c r="J119" s="415" t="s">
        <v>569</v>
      </c>
      <c r="K119" s="415">
        <v>12041011</v>
      </c>
      <c r="L119" s="41">
        <f>VLOOKUP(K119,WebPosting!$B$6:$B$561,1,FALSE)</f>
        <v>12041011</v>
      </c>
      <c r="M119" s="46">
        <f>(($V119*1000)*(IFERROR($T119-WebPosting!$K$1,"0")))</f>
        <v>0</v>
      </c>
      <c r="N119" s="43">
        <f t="shared" si="1"/>
        <v>2818.8623520000006</v>
      </c>
      <c r="O119" s="416" t="s">
        <v>672</v>
      </c>
      <c r="P119" s="416" t="s">
        <v>699</v>
      </c>
      <c r="Q119" s="416" t="s">
        <v>700</v>
      </c>
      <c r="R119" s="417">
        <v>40999</v>
      </c>
      <c r="S119" s="416" t="s">
        <v>696</v>
      </c>
      <c r="T119" s="416" t="s">
        <v>696</v>
      </c>
      <c r="U119" s="416">
        <v>4.2480000000000003E-4</v>
      </c>
      <c r="V119" s="418">
        <v>663574</v>
      </c>
      <c r="W119" s="419">
        <v>663573750.00999999</v>
      </c>
      <c r="X119" s="416" t="s">
        <v>666</v>
      </c>
      <c r="Y119" s="416" t="s">
        <v>663</v>
      </c>
      <c r="Z119" s="416" t="s">
        <v>664</v>
      </c>
      <c r="AA119" s="416" t="s">
        <v>665</v>
      </c>
      <c r="AB119" s="416" t="s">
        <v>666</v>
      </c>
      <c r="AC119" s="416" t="s">
        <v>666</v>
      </c>
    </row>
    <row r="120" spans="1:34">
      <c r="A120" s="415">
        <v>3</v>
      </c>
      <c r="B120" s="415" t="s">
        <v>570</v>
      </c>
      <c r="C120" s="415">
        <v>60</v>
      </c>
      <c r="D120" s="415" t="s">
        <v>571</v>
      </c>
      <c r="E120" s="415">
        <v>10</v>
      </c>
      <c r="F120" s="415" t="s">
        <v>572</v>
      </c>
      <c r="G120" s="415">
        <v>15</v>
      </c>
      <c r="H120" s="415" t="s">
        <v>471</v>
      </c>
      <c r="I120" s="415" t="s">
        <v>573</v>
      </c>
      <c r="J120" s="415" t="s">
        <v>574</v>
      </c>
      <c r="K120" s="415">
        <v>17022205</v>
      </c>
      <c r="L120" s="41">
        <f>VLOOKUP(K120,WebPosting!$B$6:$B$561,1,FALSE)</f>
        <v>17022205</v>
      </c>
      <c r="M120" s="46">
        <f>(($V120*1000)*(IFERROR($T120-WebPosting!$K$1,"0")))</f>
        <v>0</v>
      </c>
      <c r="N120" s="43">
        <f t="shared" si="1"/>
        <v>360000</v>
      </c>
      <c r="O120" s="416" t="s">
        <v>660</v>
      </c>
      <c r="P120" s="416" t="s">
        <v>743</v>
      </c>
      <c r="Q120" s="416" t="s">
        <v>744</v>
      </c>
      <c r="R120" s="417">
        <v>42788</v>
      </c>
      <c r="S120" s="417">
        <v>42825</v>
      </c>
      <c r="T120" s="417">
        <v>42825</v>
      </c>
      <c r="U120" s="416">
        <v>0.72</v>
      </c>
      <c r="V120" s="418">
        <v>50000</v>
      </c>
      <c r="W120" s="419">
        <v>49963000</v>
      </c>
      <c r="X120" s="419">
        <v>37000</v>
      </c>
      <c r="Y120" s="416" t="s">
        <v>677</v>
      </c>
      <c r="Z120" s="416" t="s">
        <v>745</v>
      </c>
      <c r="AA120" s="416" t="s">
        <v>665</v>
      </c>
      <c r="AB120" s="416" t="s">
        <v>666</v>
      </c>
      <c r="AC120" s="416" t="s">
        <v>666</v>
      </c>
    </row>
    <row r="121" spans="1:34">
      <c r="A121" s="415">
        <v>3</v>
      </c>
      <c r="B121" s="415" t="s">
        <v>570</v>
      </c>
      <c r="C121" s="415">
        <v>60</v>
      </c>
      <c r="D121" s="415" t="s">
        <v>571</v>
      </c>
      <c r="E121" s="415">
        <v>10</v>
      </c>
      <c r="F121" s="415" t="s">
        <v>572</v>
      </c>
      <c r="G121" s="415">
        <v>15</v>
      </c>
      <c r="H121" s="415" t="s">
        <v>471</v>
      </c>
      <c r="I121" s="415" t="s">
        <v>573</v>
      </c>
      <c r="J121" s="415" t="s">
        <v>574</v>
      </c>
      <c r="K121" s="415">
        <v>16120509</v>
      </c>
      <c r="L121" s="41">
        <f>VLOOKUP(K121,WebPosting!$B$6:$B$561,1,FALSE)</f>
        <v>16120509</v>
      </c>
      <c r="M121" s="46">
        <f>(($V121*1000)*(IFERROR($T121-WebPosting!$K$1,"0")))</f>
        <v>150000000</v>
      </c>
      <c r="N121" s="43">
        <f t="shared" si="1"/>
        <v>390000</v>
      </c>
      <c r="O121" s="416" t="s">
        <v>672</v>
      </c>
      <c r="P121" s="416" t="s">
        <v>746</v>
      </c>
      <c r="Q121" s="416" t="s">
        <v>747</v>
      </c>
      <c r="R121" s="417">
        <v>42709</v>
      </c>
      <c r="S121" s="417">
        <v>42828</v>
      </c>
      <c r="T121" s="417">
        <v>42828</v>
      </c>
      <c r="U121" s="416">
        <v>0.78</v>
      </c>
      <c r="V121" s="418">
        <v>50000</v>
      </c>
      <c r="W121" s="419">
        <v>49871083.329999998</v>
      </c>
      <c r="X121" s="416" t="s">
        <v>666</v>
      </c>
      <c r="Y121" s="416" t="s">
        <v>677</v>
      </c>
      <c r="Z121" s="416" t="s">
        <v>748</v>
      </c>
      <c r="AA121" s="416" t="s">
        <v>665</v>
      </c>
      <c r="AB121" s="416" t="s">
        <v>666</v>
      </c>
      <c r="AC121" s="416" t="s">
        <v>666</v>
      </c>
    </row>
    <row r="122" spans="1:34">
      <c r="A122" s="415">
        <v>3</v>
      </c>
      <c r="B122" s="415" t="s">
        <v>570</v>
      </c>
      <c r="C122" s="415">
        <v>60</v>
      </c>
      <c r="D122" s="415" t="s">
        <v>571</v>
      </c>
      <c r="E122" s="415">
        <v>10</v>
      </c>
      <c r="F122" s="415" t="s">
        <v>572</v>
      </c>
      <c r="G122" s="415">
        <v>15</v>
      </c>
      <c r="H122" s="415" t="s">
        <v>471</v>
      </c>
      <c r="I122" s="415" t="s">
        <v>573</v>
      </c>
      <c r="J122" s="415" t="s">
        <v>574</v>
      </c>
      <c r="K122" s="415">
        <v>17010312</v>
      </c>
      <c r="L122" s="41">
        <f>VLOOKUP(K122,WebPosting!$B$6:$B$561,1,FALSE)</f>
        <v>17010312</v>
      </c>
      <c r="M122" s="46">
        <f>(($V122*1000)*(IFERROR($T122-WebPosting!$K$1,"0")))</f>
        <v>45000000</v>
      </c>
      <c r="N122" s="43">
        <f t="shared" si="1"/>
        <v>156000</v>
      </c>
      <c r="O122" s="416" t="s">
        <v>672</v>
      </c>
      <c r="P122" s="416" t="s">
        <v>749</v>
      </c>
      <c r="Q122" s="416" t="s">
        <v>750</v>
      </c>
      <c r="R122" s="417">
        <v>42738</v>
      </c>
      <c r="S122" s="417">
        <v>42828</v>
      </c>
      <c r="T122" s="417">
        <v>42828</v>
      </c>
      <c r="U122" s="416">
        <v>1.04</v>
      </c>
      <c r="V122" s="418">
        <v>15000</v>
      </c>
      <c r="W122" s="419">
        <v>14961000</v>
      </c>
      <c r="X122" s="416" t="s">
        <v>666</v>
      </c>
      <c r="Y122" s="416" t="s">
        <v>677</v>
      </c>
      <c r="Z122" s="416" t="s">
        <v>751</v>
      </c>
      <c r="AA122" s="416" t="s">
        <v>665</v>
      </c>
      <c r="AB122" s="416" t="s">
        <v>666</v>
      </c>
      <c r="AC122" s="416" t="s">
        <v>666</v>
      </c>
      <c r="AG122" s="53"/>
      <c r="AH122" s="54"/>
    </row>
    <row r="123" spans="1:34">
      <c r="A123" s="415">
        <v>3</v>
      </c>
      <c r="B123" s="415" t="s">
        <v>570</v>
      </c>
      <c r="C123" s="415">
        <v>60</v>
      </c>
      <c r="D123" s="415" t="s">
        <v>571</v>
      </c>
      <c r="E123" s="415">
        <v>10</v>
      </c>
      <c r="F123" s="415" t="s">
        <v>572</v>
      </c>
      <c r="G123" s="415">
        <v>15</v>
      </c>
      <c r="H123" s="415" t="s">
        <v>471</v>
      </c>
      <c r="I123" s="415" t="s">
        <v>573</v>
      </c>
      <c r="J123" s="415" t="s">
        <v>574</v>
      </c>
      <c r="K123" s="415">
        <v>17010313</v>
      </c>
      <c r="L123" s="41">
        <f>VLOOKUP(K123,WebPosting!$B$6:$B$561,1,FALSE)</f>
        <v>17010313</v>
      </c>
      <c r="M123" s="46">
        <f>(($V123*1000)*(IFERROR($T123-WebPosting!$K$1,"0")))</f>
        <v>600000000</v>
      </c>
      <c r="N123" s="43">
        <f t="shared" si="1"/>
        <v>2080000</v>
      </c>
      <c r="O123" s="416" t="s">
        <v>672</v>
      </c>
      <c r="P123" s="416" t="s">
        <v>749</v>
      </c>
      <c r="Q123" s="416" t="s">
        <v>750</v>
      </c>
      <c r="R123" s="417">
        <v>42738</v>
      </c>
      <c r="S123" s="417">
        <v>42828</v>
      </c>
      <c r="T123" s="417">
        <v>42828</v>
      </c>
      <c r="U123" s="416">
        <v>1.04</v>
      </c>
      <c r="V123" s="418">
        <v>200000</v>
      </c>
      <c r="W123" s="419">
        <v>199480000</v>
      </c>
      <c r="X123" s="416" t="s">
        <v>666</v>
      </c>
      <c r="Y123" s="416" t="s">
        <v>677</v>
      </c>
      <c r="Z123" s="416" t="s">
        <v>751</v>
      </c>
      <c r="AA123" s="416" t="s">
        <v>665</v>
      </c>
      <c r="AB123" s="416" t="s">
        <v>666</v>
      </c>
      <c r="AC123" s="416" t="s">
        <v>666</v>
      </c>
    </row>
    <row r="124" spans="1:34">
      <c r="A124" s="415">
        <v>3</v>
      </c>
      <c r="B124" s="415" t="s">
        <v>570</v>
      </c>
      <c r="C124" s="415">
        <v>60</v>
      </c>
      <c r="D124" s="415" t="s">
        <v>571</v>
      </c>
      <c r="E124" s="415">
        <v>10</v>
      </c>
      <c r="F124" s="415" t="s">
        <v>572</v>
      </c>
      <c r="G124" s="415">
        <v>15</v>
      </c>
      <c r="H124" s="415" t="s">
        <v>471</v>
      </c>
      <c r="I124" s="415" t="s">
        <v>573</v>
      </c>
      <c r="J124" s="415" t="s">
        <v>574</v>
      </c>
      <c r="K124" s="415">
        <v>17010413</v>
      </c>
      <c r="L124" s="41">
        <f>VLOOKUP(K124,WebPosting!$B$6:$B$561,1,FALSE)</f>
        <v>17010413</v>
      </c>
      <c r="M124" s="46">
        <f>(($V124*1000)*(IFERROR($T124-WebPosting!$K$1,"0")))</f>
        <v>150000000</v>
      </c>
      <c r="N124" s="43">
        <f t="shared" si="1"/>
        <v>530000</v>
      </c>
      <c r="O124" s="416" t="s">
        <v>672</v>
      </c>
      <c r="P124" s="416" t="s">
        <v>667</v>
      </c>
      <c r="Q124" s="416" t="s">
        <v>668</v>
      </c>
      <c r="R124" s="417">
        <v>42739</v>
      </c>
      <c r="S124" s="417">
        <v>42828</v>
      </c>
      <c r="T124" s="417">
        <v>42828</v>
      </c>
      <c r="U124" s="416">
        <v>1.06</v>
      </c>
      <c r="V124" s="418">
        <v>50000</v>
      </c>
      <c r="W124" s="419">
        <v>49868972.219999999</v>
      </c>
      <c r="X124" s="416" t="s">
        <v>666</v>
      </c>
      <c r="Y124" s="416" t="s">
        <v>677</v>
      </c>
      <c r="Z124" s="416" t="s">
        <v>752</v>
      </c>
      <c r="AA124" s="416" t="s">
        <v>665</v>
      </c>
      <c r="AB124" s="416" t="s">
        <v>666</v>
      </c>
      <c r="AC124" s="416" t="s">
        <v>666</v>
      </c>
      <c r="AG124" s="53"/>
      <c r="AH124" s="54"/>
    </row>
    <row r="125" spans="1:34">
      <c r="A125" s="415">
        <v>3</v>
      </c>
      <c r="B125" s="415" t="s">
        <v>570</v>
      </c>
      <c r="C125" s="415">
        <v>60</v>
      </c>
      <c r="D125" s="415" t="s">
        <v>571</v>
      </c>
      <c r="E125" s="415">
        <v>10</v>
      </c>
      <c r="F125" s="415" t="s">
        <v>572</v>
      </c>
      <c r="G125" s="415">
        <v>15</v>
      </c>
      <c r="H125" s="415" t="s">
        <v>471</v>
      </c>
      <c r="I125" s="415" t="s">
        <v>573</v>
      </c>
      <c r="J125" s="415" t="s">
        <v>574</v>
      </c>
      <c r="K125" s="415">
        <v>17010613</v>
      </c>
      <c r="L125" s="41">
        <f>VLOOKUP(K125,WebPosting!$B$6:$B$561,1,FALSE)</f>
        <v>17010613</v>
      </c>
      <c r="M125" s="46">
        <f>(($V125*1000)*(IFERROR($T125-WebPosting!$K$1,"0")))</f>
        <v>150000000</v>
      </c>
      <c r="N125" s="43">
        <f t="shared" si="1"/>
        <v>510000.00000000006</v>
      </c>
      <c r="O125" s="416" t="s">
        <v>672</v>
      </c>
      <c r="P125" s="416" t="s">
        <v>753</v>
      </c>
      <c r="Q125" s="416" t="s">
        <v>754</v>
      </c>
      <c r="R125" s="417">
        <v>42741</v>
      </c>
      <c r="S125" s="417">
        <v>42828</v>
      </c>
      <c r="T125" s="417">
        <v>42828</v>
      </c>
      <c r="U125" s="416">
        <v>1.02</v>
      </c>
      <c r="V125" s="418">
        <v>50000</v>
      </c>
      <c r="W125" s="419">
        <v>49876750</v>
      </c>
      <c r="X125" s="416" t="s">
        <v>666</v>
      </c>
      <c r="Y125" s="416" t="s">
        <v>677</v>
      </c>
      <c r="Z125" s="416" t="s">
        <v>755</v>
      </c>
      <c r="AA125" s="416" t="s">
        <v>665</v>
      </c>
      <c r="AB125" s="416" t="s">
        <v>666</v>
      </c>
      <c r="AC125" s="416" t="s">
        <v>666</v>
      </c>
      <c r="AG125" s="53"/>
      <c r="AH125" s="54"/>
    </row>
    <row r="126" spans="1:34">
      <c r="A126" s="415">
        <v>3</v>
      </c>
      <c r="B126" s="415" t="s">
        <v>570</v>
      </c>
      <c r="C126" s="415">
        <v>60</v>
      </c>
      <c r="D126" s="415" t="s">
        <v>571</v>
      </c>
      <c r="E126" s="415">
        <v>10</v>
      </c>
      <c r="F126" s="415" t="s">
        <v>572</v>
      </c>
      <c r="G126" s="415">
        <v>15</v>
      </c>
      <c r="H126" s="415" t="s">
        <v>471</v>
      </c>
      <c r="I126" s="415" t="s">
        <v>573</v>
      </c>
      <c r="J126" s="415" t="s">
        <v>574</v>
      </c>
      <c r="K126" s="415">
        <v>17032402</v>
      </c>
      <c r="L126" s="41">
        <f>VLOOKUP(K126,WebPosting!$B$6:$B$561,1,FALSE)</f>
        <v>17032402</v>
      </c>
      <c r="M126" s="46">
        <f>(($V126*1000)*(IFERROR($T126-WebPosting!$K$1,"0")))</f>
        <v>33900000</v>
      </c>
      <c r="N126" s="43">
        <f t="shared" si="1"/>
        <v>92659.999999999985</v>
      </c>
      <c r="O126" s="416" t="s">
        <v>672</v>
      </c>
      <c r="P126" s="416" t="s">
        <v>1052</v>
      </c>
      <c r="Q126" s="416" t="s">
        <v>1053</v>
      </c>
      <c r="R126" s="417">
        <v>42818</v>
      </c>
      <c r="S126" s="417">
        <v>42828</v>
      </c>
      <c r="T126" s="417">
        <v>42828</v>
      </c>
      <c r="U126" s="416">
        <v>0.82</v>
      </c>
      <c r="V126" s="418">
        <v>11300</v>
      </c>
      <c r="W126" s="419">
        <v>11297426.109999999</v>
      </c>
      <c r="X126" s="416" t="s">
        <v>666</v>
      </c>
      <c r="Y126" s="416" t="s">
        <v>677</v>
      </c>
      <c r="Z126" s="416" t="s">
        <v>1054</v>
      </c>
      <c r="AA126" s="416" t="s">
        <v>665</v>
      </c>
      <c r="AB126" s="416" t="s">
        <v>666</v>
      </c>
      <c r="AC126" s="416" t="s">
        <v>666</v>
      </c>
      <c r="AG126" s="53"/>
      <c r="AH126" s="54"/>
    </row>
    <row r="127" spans="1:34">
      <c r="A127" s="415">
        <v>3</v>
      </c>
      <c r="B127" s="415" t="s">
        <v>570</v>
      </c>
      <c r="C127" s="415">
        <v>60</v>
      </c>
      <c r="D127" s="415" t="s">
        <v>571</v>
      </c>
      <c r="E127" s="415">
        <v>10</v>
      </c>
      <c r="F127" s="415" t="s">
        <v>572</v>
      </c>
      <c r="G127" s="415">
        <v>15</v>
      </c>
      <c r="H127" s="415" t="s">
        <v>471</v>
      </c>
      <c r="I127" s="415" t="s">
        <v>573</v>
      </c>
      <c r="J127" s="415" t="s">
        <v>574</v>
      </c>
      <c r="K127" s="415">
        <v>17032214</v>
      </c>
      <c r="L127" s="41">
        <f>VLOOKUP(K127,WebPosting!$B$6:$B$561,1,FALSE)</f>
        <v>17032214</v>
      </c>
      <c r="M127" s="46">
        <f>(($V127*1000)*(IFERROR($T127-WebPosting!$K$1,"0")))</f>
        <v>250000000</v>
      </c>
      <c r="N127" s="43">
        <f t="shared" si="1"/>
        <v>460000</v>
      </c>
      <c r="O127" s="416" t="s">
        <v>672</v>
      </c>
      <c r="P127" s="416" t="s">
        <v>667</v>
      </c>
      <c r="Q127" s="416" t="s">
        <v>668</v>
      </c>
      <c r="R127" s="417">
        <v>42816</v>
      </c>
      <c r="S127" s="417">
        <v>42830</v>
      </c>
      <c r="T127" s="417">
        <v>42830</v>
      </c>
      <c r="U127" s="416">
        <v>0.92</v>
      </c>
      <c r="V127" s="418">
        <v>50000</v>
      </c>
      <c r="W127" s="419">
        <v>49982111.109999999</v>
      </c>
      <c r="X127" s="416" t="s">
        <v>666</v>
      </c>
      <c r="Y127" s="416" t="s">
        <v>677</v>
      </c>
      <c r="Z127" s="416" t="s">
        <v>756</v>
      </c>
      <c r="AA127" s="416" t="s">
        <v>665</v>
      </c>
      <c r="AB127" s="416" t="s">
        <v>666</v>
      </c>
      <c r="AC127" s="416" t="s">
        <v>666</v>
      </c>
      <c r="AG127" s="53"/>
      <c r="AH127" s="54"/>
    </row>
    <row r="128" spans="1:34">
      <c r="A128" s="415">
        <v>3</v>
      </c>
      <c r="B128" s="415" t="s">
        <v>570</v>
      </c>
      <c r="C128" s="415">
        <v>60</v>
      </c>
      <c r="D128" s="415" t="s">
        <v>571</v>
      </c>
      <c r="E128" s="415">
        <v>10</v>
      </c>
      <c r="F128" s="415" t="s">
        <v>572</v>
      </c>
      <c r="G128" s="415">
        <v>15</v>
      </c>
      <c r="H128" s="415" t="s">
        <v>471</v>
      </c>
      <c r="I128" s="415" t="s">
        <v>573</v>
      </c>
      <c r="J128" s="415" t="s">
        <v>574</v>
      </c>
      <c r="K128" s="415">
        <v>17032315</v>
      </c>
      <c r="L128" s="41">
        <f>VLOOKUP(K128,WebPosting!$B$6:$B$561,1,FALSE)</f>
        <v>17032315</v>
      </c>
      <c r="M128" s="46">
        <f>(($V128*1000)*(IFERROR($T128-WebPosting!$K$1,"0")))</f>
        <v>600000000</v>
      </c>
      <c r="N128" s="43">
        <f t="shared" si="1"/>
        <v>939999.99999999988</v>
      </c>
      <c r="O128" s="416" t="s">
        <v>672</v>
      </c>
      <c r="P128" s="416" t="s">
        <v>667</v>
      </c>
      <c r="Q128" s="416" t="s">
        <v>668</v>
      </c>
      <c r="R128" s="417">
        <v>42817</v>
      </c>
      <c r="S128" s="417">
        <v>42831</v>
      </c>
      <c r="T128" s="417">
        <v>42831</v>
      </c>
      <c r="U128" s="416">
        <v>0.94</v>
      </c>
      <c r="V128" s="418">
        <v>100000</v>
      </c>
      <c r="W128" s="419">
        <v>99963444.439999998</v>
      </c>
      <c r="X128" s="416" t="s">
        <v>666</v>
      </c>
      <c r="Y128" s="416" t="s">
        <v>677</v>
      </c>
      <c r="Z128" s="416" t="s">
        <v>1048</v>
      </c>
      <c r="AA128" s="416" t="s">
        <v>665</v>
      </c>
      <c r="AB128" s="416" t="s">
        <v>666</v>
      </c>
      <c r="AC128" s="416" t="s">
        <v>666</v>
      </c>
      <c r="AG128" s="53"/>
      <c r="AH128" s="54"/>
    </row>
    <row r="129" spans="1:34">
      <c r="A129" s="415">
        <v>3</v>
      </c>
      <c r="B129" s="415" t="s">
        <v>570</v>
      </c>
      <c r="C129" s="415">
        <v>60</v>
      </c>
      <c r="D129" s="415" t="s">
        <v>571</v>
      </c>
      <c r="E129" s="415">
        <v>10</v>
      </c>
      <c r="F129" s="415" t="s">
        <v>572</v>
      </c>
      <c r="G129" s="415">
        <v>15</v>
      </c>
      <c r="H129" s="415" t="s">
        <v>471</v>
      </c>
      <c r="I129" s="415" t="s">
        <v>573</v>
      </c>
      <c r="J129" s="415" t="s">
        <v>574</v>
      </c>
      <c r="K129" s="415">
        <v>17032415</v>
      </c>
      <c r="L129" s="41">
        <f>VLOOKUP(K129,WebPosting!$B$6:$B$561,1,FALSE)</f>
        <v>17032415</v>
      </c>
      <c r="M129" s="46">
        <f>(($V129*1000)*(IFERROR($T129-WebPosting!$K$1,"0")))</f>
        <v>700000000</v>
      </c>
      <c r="N129" s="43">
        <f t="shared" si="1"/>
        <v>939999.99999999988</v>
      </c>
      <c r="O129" s="416" t="s">
        <v>672</v>
      </c>
      <c r="P129" s="416" t="s">
        <v>667</v>
      </c>
      <c r="Q129" s="416" t="s">
        <v>668</v>
      </c>
      <c r="R129" s="417">
        <v>42818</v>
      </c>
      <c r="S129" s="417">
        <v>42832</v>
      </c>
      <c r="T129" s="417">
        <v>42832</v>
      </c>
      <c r="U129" s="416">
        <v>0.94</v>
      </c>
      <c r="V129" s="418">
        <v>100000</v>
      </c>
      <c r="W129" s="419">
        <v>99963444.439999998</v>
      </c>
      <c r="X129" s="416" t="s">
        <v>666</v>
      </c>
      <c r="Y129" s="416" t="s">
        <v>677</v>
      </c>
      <c r="Z129" s="416" t="s">
        <v>1055</v>
      </c>
      <c r="AA129" s="416" t="s">
        <v>665</v>
      </c>
      <c r="AB129" s="416" t="s">
        <v>666</v>
      </c>
      <c r="AC129" s="416" t="s">
        <v>666</v>
      </c>
      <c r="AG129" s="53"/>
      <c r="AH129" s="54"/>
    </row>
    <row r="130" spans="1:34">
      <c r="A130" s="415">
        <v>3</v>
      </c>
      <c r="B130" s="415" t="s">
        <v>570</v>
      </c>
      <c r="C130" s="415">
        <v>60</v>
      </c>
      <c r="D130" s="415" t="s">
        <v>571</v>
      </c>
      <c r="E130" s="415">
        <v>10</v>
      </c>
      <c r="F130" s="415" t="s">
        <v>572</v>
      </c>
      <c r="G130" s="415">
        <v>15</v>
      </c>
      <c r="H130" s="415" t="s">
        <v>471</v>
      </c>
      <c r="I130" s="415" t="s">
        <v>573</v>
      </c>
      <c r="J130" s="415" t="s">
        <v>574</v>
      </c>
      <c r="K130" s="415">
        <v>16113010</v>
      </c>
      <c r="L130" s="41">
        <f>VLOOKUP(K130,WebPosting!$B$6:$B$561,1,FALSE)</f>
        <v>16113010</v>
      </c>
      <c r="M130" s="46">
        <f>(($V130*1000)*(IFERROR($T130-WebPosting!$K$1,"0")))</f>
        <v>1550000000</v>
      </c>
      <c r="N130" s="43">
        <f t="shared" si="1"/>
        <v>550000</v>
      </c>
      <c r="O130" s="416" t="s">
        <v>672</v>
      </c>
      <c r="P130" s="416" t="s">
        <v>757</v>
      </c>
      <c r="Q130" s="416" t="s">
        <v>758</v>
      </c>
      <c r="R130" s="417">
        <v>42704</v>
      </c>
      <c r="S130" s="417">
        <v>42856</v>
      </c>
      <c r="T130" s="417">
        <v>42856</v>
      </c>
      <c r="U130" s="416">
        <v>1.1000000000000001</v>
      </c>
      <c r="V130" s="418">
        <v>50000</v>
      </c>
      <c r="W130" s="419">
        <v>49767777.780000001</v>
      </c>
      <c r="X130" s="416" t="s">
        <v>666</v>
      </c>
      <c r="Y130" s="416" t="s">
        <v>677</v>
      </c>
      <c r="Z130" s="416" t="s">
        <v>759</v>
      </c>
      <c r="AA130" s="416" t="s">
        <v>665</v>
      </c>
      <c r="AB130" s="416" t="s">
        <v>666</v>
      </c>
      <c r="AC130" s="416" t="s">
        <v>666</v>
      </c>
      <c r="AG130" s="53"/>
      <c r="AH130" s="54"/>
    </row>
    <row r="131" spans="1:34">
      <c r="A131" s="415">
        <v>3</v>
      </c>
      <c r="B131" s="415" t="s">
        <v>570</v>
      </c>
      <c r="C131" s="415">
        <v>60</v>
      </c>
      <c r="D131" s="415" t="s">
        <v>571</v>
      </c>
      <c r="E131" s="415">
        <v>10</v>
      </c>
      <c r="F131" s="415" t="s">
        <v>572</v>
      </c>
      <c r="G131" s="415">
        <v>15</v>
      </c>
      <c r="H131" s="415" t="s">
        <v>471</v>
      </c>
      <c r="I131" s="415" t="s">
        <v>573</v>
      </c>
      <c r="J131" s="415" t="s">
        <v>574</v>
      </c>
      <c r="K131" s="415">
        <v>17010414</v>
      </c>
      <c r="L131" s="41">
        <f>VLOOKUP(K131,WebPosting!$B$6:$B$561,1,FALSE)</f>
        <v>17010414</v>
      </c>
      <c r="M131" s="46">
        <f>(($V131*1000)*(IFERROR($T131-WebPosting!$K$1,"0")))</f>
        <v>1550000000</v>
      </c>
      <c r="N131" s="43">
        <f t="shared" ref="N131:N194" si="2">($U131%*($V131*1000))</f>
        <v>560000.00000000012</v>
      </c>
      <c r="O131" s="416" t="s">
        <v>672</v>
      </c>
      <c r="P131" s="416" t="s">
        <v>667</v>
      </c>
      <c r="Q131" s="416" t="s">
        <v>668</v>
      </c>
      <c r="R131" s="417">
        <v>42739</v>
      </c>
      <c r="S131" s="417">
        <v>42856</v>
      </c>
      <c r="T131" s="417">
        <v>42856</v>
      </c>
      <c r="U131" s="416">
        <v>1.1200000000000001</v>
      </c>
      <c r="V131" s="418">
        <v>50000</v>
      </c>
      <c r="W131" s="419">
        <v>49818000</v>
      </c>
      <c r="X131" s="416" t="s">
        <v>666</v>
      </c>
      <c r="Y131" s="416" t="s">
        <v>677</v>
      </c>
      <c r="Z131" s="416" t="s">
        <v>760</v>
      </c>
      <c r="AA131" s="416" t="s">
        <v>665</v>
      </c>
      <c r="AB131" s="416" t="s">
        <v>666</v>
      </c>
      <c r="AC131" s="416" t="s">
        <v>666</v>
      </c>
      <c r="AG131" s="53"/>
      <c r="AH131" s="54"/>
    </row>
    <row r="132" spans="1:34">
      <c r="A132" s="415">
        <v>3</v>
      </c>
      <c r="B132" s="415" t="s">
        <v>570</v>
      </c>
      <c r="C132" s="415">
        <v>60</v>
      </c>
      <c r="D132" s="415" t="s">
        <v>571</v>
      </c>
      <c r="E132" s="415">
        <v>10</v>
      </c>
      <c r="F132" s="415" t="s">
        <v>572</v>
      </c>
      <c r="G132" s="415">
        <v>15</v>
      </c>
      <c r="H132" s="415" t="s">
        <v>471</v>
      </c>
      <c r="I132" s="415" t="s">
        <v>573</v>
      </c>
      <c r="J132" s="415" t="s">
        <v>574</v>
      </c>
      <c r="K132" s="415">
        <v>17010608</v>
      </c>
      <c r="L132" s="41">
        <f>VLOOKUP(K132,WebPosting!$B$6:$B$561,1,FALSE)</f>
        <v>17010608</v>
      </c>
      <c r="M132" s="46">
        <f>(($V132*1000)*(IFERROR($T132-WebPosting!$K$1,"0")))</f>
        <v>1550000000</v>
      </c>
      <c r="N132" s="43">
        <f t="shared" si="2"/>
        <v>530000</v>
      </c>
      <c r="O132" s="416" t="s">
        <v>672</v>
      </c>
      <c r="P132" s="416" t="s">
        <v>761</v>
      </c>
      <c r="Q132" s="416" t="s">
        <v>762</v>
      </c>
      <c r="R132" s="417">
        <v>42741</v>
      </c>
      <c r="S132" s="417">
        <v>42856</v>
      </c>
      <c r="T132" s="417">
        <v>42856</v>
      </c>
      <c r="U132" s="416">
        <v>1.06</v>
      </c>
      <c r="V132" s="418">
        <v>50000</v>
      </c>
      <c r="W132" s="419">
        <v>49830694.439999998</v>
      </c>
      <c r="X132" s="416" t="s">
        <v>666</v>
      </c>
      <c r="Y132" s="416" t="s">
        <v>677</v>
      </c>
      <c r="Z132" s="416" t="s">
        <v>759</v>
      </c>
      <c r="AA132" s="416" t="s">
        <v>665</v>
      </c>
      <c r="AB132" s="416" t="s">
        <v>666</v>
      </c>
      <c r="AC132" s="416" t="s">
        <v>666</v>
      </c>
      <c r="AG132" s="53"/>
      <c r="AH132" s="54"/>
    </row>
    <row r="133" spans="1:34">
      <c r="A133" s="415">
        <v>3</v>
      </c>
      <c r="B133" s="415" t="s">
        <v>570</v>
      </c>
      <c r="C133" s="415">
        <v>60</v>
      </c>
      <c r="D133" s="415" t="s">
        <v>571</v>
      </c>
      <c r="E133" s="415">
        <v>10</v>
      </c>
      <c r="F133" s="415" t="s">
        <v>572</v>
      </c>
      <c r="G133" s="415">
        <v>15</v>
      </c>
      <c r="H133" s="415" t="s">
        <v>471</v>
      </c>
      <c r="I133" s="415" t="s">
        <v>573</v>
      </c>
      <c r="J133" s="415" t="s">
        <v>574</v>
      </c>
      <c r="K133" s="415">
        <v>17011712</v>
      </c>
      <c r="L133" s="41">
        <f>VLOOKUP(K133,WebPosting!$B$6:$B$561,1,FALSE)</f>
        <v>17011712</v>
      </c>
      <c r="M133" s="46">
        <f>(($V133*1000)*(IFERROR($T133-WebPosting!$K$1,"0")))</f>
        <v>1550000000</v>
      </c>
      <c r="N133" s="43">
        <f t="shared" si="2"/>
        <v>485000</v>
      </c>
      <c r="O133" s="416" t="s">
        <v>672</v>
      </c>
      <c r="P133" s="416" t="s">
        <v>763</v>
      </c>
      <c r="Q133" s="416" t="s">
        <v>764</v>
      </c>
      <c r="R133" s="417">
        <v>42752</v>
      </c>
      <c r="S133" s="417">
        <v>42856</v>
      </c>
      <c r="T133" s="417">
        <v>42856</v>
      </c>
      <c r="U133" s="416">
        <v>0.97</v>
      </c>
      <c r="V133" s="418">
        <v>50000</v>
      </c>
      <c r="W133" s="419">
        <v>49859888.890000001</v>
      </c>
      <c r="X133" s="416" t="s">
        <v>666</v>
      </c>
      <c r="Y133" s="416" t="s">
        <v>677</v>
      </c>
      <c r="Z133" s="416" t="s">
        <v>759</v>
      </c>
      <c r="AA133" s="416" t="s">
        <v>665</v>
      </c>
      <c r="AB133" s="416" t="s">
        <v>666</v>
      </c>
      <c r="AC133" s="416" t="s">
        <v>666</v>
      </c>
      <c r="AG133" s="53"/>
      <c r="AH133" s="54"/>
    </row>
    <row r="134" spans="1:34">
      <c r="A134" s="415">
        <v>3</v>
      </c>
      <c r="B134" s="415" t="s">
        <v>570</v>
      </c>
      <c r="C134" s="415">
        <v>60</v>
      </c>
      <c r="D134" s="415" t="s">
        <v>571</v>
      </c>
      <c r="E134" s="415">
        <v>10</v>
      </c>
      <c r="F134" s="415" t="s">
        <v>572</v>
      </c>
      <c r="G134" s="415">
        <v>15</v>
      </c>
      <c r="H134" s="415" t="s">
        <v>471</v>
      </c>
      <c r="I134" s="415" t="s">
        <v>573</v>
      </c>
      <c r="J134" s="415" t="s">
        <v>574</v>
      </c>
      <c r="K134" s="415">
        <v>17012012</v>
      </c>
      <c r="L134" s="41">
        <f>VLOOKUP(K134,WebPosting!$B$6:$B$561,1,FALSE)</f>
        <v>17012012</v>
      </c>
      <c r="M134" s="46">
        <f>(($V134*1000)*(IFERROR($T134-WebPosting!$K$1,"0")))</f>
        <v>1550000000</v>
      </c>
      <c r="N134" s="43">
        <f t="shared" si="2"/>
        <v>494999.99999999994</v>
      </c>
      <c r="O134" s="416" t="s">
        <v>672</v>
      </c>
      <c r="P134" s="416" t="s">
        <v>765</v>
      </c>
      <c r="Q134" s="416" t="s">
        <v>766</v>
      </c>
      <c r="R134" s="417">
        <v>42755</v>
      </c>
      <c r="S134" s="417">
        <v>42856</v>
      </c>
      <c r="T134" s="417">
        <v>42856</v>
      </c>
      <c r="U134" s="416">
        <v>0.99</v>
      </c>
      <c r="V134" s="418">
        <v>50000</v>
      </c>
      <c r="W134" s="419">
        <v>49861125</v>
      </c>
      <c r="X134" s="416" t="s">
        <v>666</v>
      </c>
      <c r="Y134" s="416" t="s">
        <v>677</v>
      </c>
      <c r="Z134" s="416" t="s">
        <v>759</v>
      </c>
      <c r="AA134" s="416" t="s">
        <v>665</v>
      </c>
      <c r="AB134" s="416" t="s">
        <v>666</v>
      </c>
      <c r="AC134" s="416" t="s">
        <v>666</v>
      </c>
      <c r="AG134" s="53"/>
      <c r="AH134" s="54"/>
    </row>
    <row r="135" spans="1:34">
      <c r="A135" s="415">
        <v>3</v>
      </c>
      <c r="B135" s="415" t="s">
        <v>570</v>
      </c>
      <c r="C135" s="415">
        <v>60</v>
      </c>
      <c r="D135" s="415" t="s">
        <v>571</v>
      </c>
      <c r="E135" s="415">
        <v>10</v>
      </c>
      <c r="F135" s="415" t="s">
        <v>572</v>
      </c>
      <c r="G135" s="415">
        <v>15</v>
      </c>
      <c r="H135" s="415" t="s">
        <v>471</v>
      </c>
      <c r="I135" s="415" t="s">
        <v>573</v>
      </c>
      <c r="J135" s="415" t="s">
        <v>574</v>
      </c>
      <c r="K135" s="415">
        <v>17012509</v>
      </c>
      <c r="L135" s="41">
        <f>VLOOKUP(K135,WebPosting!$B$6:$B$561,1,FALSE)</f>
        <v>17012509</v>
      </c>
      <c r="M135" s="46">
        <f>(($V135*1000)*(IFERROR($T135-WebPosting!$K$1,"0")))</f>
        <v>930000000</v>
      </c>
      <c r="N135" s="43">
        <f t="shared" si="2"/>
        <v>255000.00000000003</v>
      </c>
      <c r="O135" s="416" t="s">
        <v>672</v>
      </c>
      <c r="P135" s="416" t="s">
        <v>767</v>
      </c>
      <c r="Q135" s="416" t="s">
        <v>768</v>
      </c>
      <c r="R135" s="417">
        <v>42760</v>
      </c>
      <c r="S135" s="417">
        <v>42856</v>
      </c>
      <c r="T135" s="417">
        <v>42856</v>
      </c>
      <c r="U135" s="416">
        <v>0.85</v>
      </c>
      <c r="V135" s="418">
        <v>30000</v>
      </c>
      <c r="W135" s="419">
        <v>29932000</v>
      </c>
      <c r="X135" s="416" t="s">
        <v>666</v>
      </c>
      <c r="Y135" s="416" t="s">
        <v>677</v>
      </c>
      <c r="Z135" s="416" t="s">
        <v>769</v>
      </c>
      <c r="AA135" s="416" t="s">
        <v>665</v>
      </c>
      <c r="AB135" s="416" t="s">
        <v>666</v>
      </c>
      <c r="AC135" s="416" t="s">
        <v>666</v>
      </c>
      <c r="AG135" s="53"/>
      <c r="AH135" s="54"/>
    </row>
    <row r="136" spans="1:34">
      <c r="A136" s="415">
        <v>3</v>
      </c>
      <c r="B136" s="415" t="s">
        <v>570</v>
      </c>
      <c r="C136" s="415">
        <v>60</v>
      </c>
      <c r="D136" s="415" t="s">
        <v>571</v>
      </c>
      <c r="E136" s="415">
        <v>10</v>
      </c>
      <c r="F136" s="415" t="s">
        <v>572</v>
      </c>
      <c r="G136" s="415">
        <v>15</v>
      </c>
      <c r="H136" s="415" t="s">
        <v>471</v>
      </c>
      <c r="I136" s="415" t="s">
        <v>573</v>
      </c>
      <c r="J136" s="415" t="s">
        <v>574</v>
      </c>
      <c r="K136" s="415">
        <v>17012510</v>
      </c>
      <c r="L136" s="41">
        <f>VLOOKUP(K136,WebPosting!$B$6:$B$561,1,FALSE)</f>
        <v>17012510</v>
      </c>
      <c r="M136" s="46">
        <f>(($V136*1000)*(IFERROR($T136-WebPosting!$K$1,"0")))</f>
        <v>3100000000</v>
      </c>
      <c r="N136" s="43">
        <f t="shared" si="2"/>
        <v>850000.00000000012</v>
      </c>
      <c r="O136" s="416" t="s">
        <v>672</v>
      </c>
      <c r="P136" s="416" t="s">
        <v>767</v>
      </c>
      <c r="Q136" s="416" t="s">
        <v>768</v>
      </c>
      <c r="R136" s="417">
        <v>42760</v>
      </c>
      <c r="S136" s="417">
        <v>42856</v>
      </c>
      <c r="T136" s="417">
        <v>42856</v>
      </c>
      <c r="U136" s="416">
        <v>0.85</v>
      </c>
      <c r="V136" s="418">
        <v>100000</v>
      </c>
      <c r="W136" s="419">
        <v>99773333.329999998</v>
      </c>
      <c r="X136" s="416" t="s">
        <v>666</v>
      </c>
      <c r="Y136" s="416" t="s">
        <v>677</v>
      </c>
      <c r="Z136" s="416" t="s">
        <v>769</v>
      </c>
      <c r="AA136" s="416" t="s">
        <v>665</v>
      </c>
      <c r="AB136" s="416" t="s">
        <v>666</v>
      </c>
      <c r="AC136" s="416" t="s">
        <v>666</v>
      </c>
      <c r="AG136" s="53"/>
      <c r="AH136" s="54"/>
    </row>
    <row r="137" spans="1:34">
      <c r="A137" s="415">
        <v>3</v>
      </c>
      <c r="B137" s="415" t="s">
        <v>570</v>
      </c>
      <c r="C137" s="415">
        <v>60</v>
      </c>
      <c r="D137" s="415" t="s">
        <v>571</v>
      </c>
      <c r="E137" s="415">
        <v>10</v>
      </c>
      <c r="F137" s="415" t="s">
        <v>572</v>
      </c>
      <c r="G137" s="415">
        <v>15</v>
      </c>
      <c r="H137" s="415" t="s">
        <v>471</v>
      </c>
      <c r="I137" s="415" t="s">
        <v>573</v>
      </c>
      <c r="J137" s="415" t="s">
        <v>574</v>
      </c>
      <c r="K137" s="415">
        <v>16120101</v>
      </c>
      <c r="L137" s="41">
        <f>VLOOKUP(K137,WebPosting!$B$6:$B$561,1,FALSE)</f>
        <v>16120101</v>
      </c>
      <c r="M137" s="46">
        <f>(($V137*1000)*(IFERROR($T137-WebPosting!$K$1,"0")))</f>
        <v>1600000000</v>
      </c>
      <c r="N137" s="43">
        <f t="shared" si="2"/>
        <v>550000</v>
      </c>
      <c r="O137" s="416" t="s">
        <v>672</v>
      </c>
      <c r="P137" s="416" t="s">
        <v>757</v>
      </c>
      <c r="Q137" s="416" t="s">
        <v>758</v>
      </c>
      <c r="R137" s="417">
        <v>42705</v>
      </c>
      <c r="S137" s="417">
        <v>42857</v>
      </c>
      <c r="T137" s="417">
        <v>42857</v>
      </c>
      <c r="U137" s="416">
        <v>1.1000000000000001</v>
      </c>
      <c r="V137" s="418">
        <v>50000</v>
      </c>
      <c r="W137" s="419">
        <v>49767777.780000001</v>
      </c>
      <c r="X137" s="416" t="s">
        <v>666</v>
      </c>
      <c r="Y137" s="416" t="s">
        <v>677</v>
      </c>
      <c r="Z137" s="416" t="s">
        <v>770</v>
      </c>
      <c r="AA137" s="416" t="s">
        <v>665</v>
      </c>
      <c r="AB137" s="416" t="s">
        <v>666</v>
      </c>
      <c r="AC137" s="416" t="s">
        <v>666</v>
      </c>
      <c r="AG137" s="53"/>
      <c r="AH137" s="54"/>
    </row>
    <row r="138" spans="1:34">
      <c r="A138" s="415">
        <v>3</v>
      </c>
      <c r="B138" s="415" t="s">
        <v>570</v>
      </c>
      <c r="C138" s="415">
        <v>60</v>
      </c>
      <c r="D138" s="415" t="s">
        <v>571</v>
      </c>
      <c r="E138" s="415">
        <v>10</v>
      </c>
      <c r="F138" s="415" t="s">
        <v>572</v>
      </c>
      <c r="G138" s="415">
        <v>15</v>
      </c>
      <c r="H138" s="415" t="s">
        <v>471</v>
      </c>
      <c r="I138" s="415" t="s">
        <v>573</v>
      </c>
      <c r="J138" s="415" t="s">
        <v>574</v>
      </c>
      <c r="K138" s="415">
        <v>17031511</v>
      </c>
      <c r="L138" s="41">
        <f>VLOOKUP(K138,WebPosting!$B$6:$B$561,1,FALSE)</f>
        <v>17031511</v>
      </c>
      <c r="M138" s="46">
        <f>(($V138*1000)*(IFERROR($T138-WebPosting!$K$1,"0")))</f>
        <v>2100000000</v>
      </c>
      <c r="N138" s="43">
        <f t="shared" si="2"/>
        <v>445000</v>
      </c>
      <c r="O138" s="416" t="s">
        <v>672</v>
      </c>
      <c r="P138" s="416" t="s">
        <v>765</v>
      </c>
      <c r="Q138" s="416" t="s">
        <v>766</v>
      </c>
      <c r="R138" s="417">
        <v>42809</v>
      </c>
      <c r="S138" s="417">
        <v>42867</v>
      </c>
      <c r="T138" s="417">
        <v>42867</v>
      </c>
      <c r="U138" s="416">
        <v>0.89</v>
      </c>
      <c r="V138" s="418">
        <v>50000</v>
      </c>
      <c r="W138" s="419">
        <v>49928305.560000002</v>
      </c>
      <c r="X138" s="416" t="s">
        <v>666</v>
      </c>
      <c r="Y138" s="416" t="s">
        <v>677</v>
      </c>
      <c r="Z138" s="416" t="s">
        <v>771</v>
      </c>
      <c r="AA138" s="416" t="s">
        <v>665</v>
      </c>
      <c r="AB138" s="416" t="s">
        <v>666</v>
      </c>
      <c r="AC138" s="416" t="s">
        <v>666</v>
      </c>
      <c r="AG138" s="53"/>
      <c r="AH138" s="54"/>
    </row>
    <row r="139" spans="1:34">
      <c r="A139" s="415">
        <v>3</v>
      </c>
      <c r="B139" s="415" t="s">
        <v>570</v>
      </c>
      <c r="C139" s="415">
        <v>60</v>
      </c>
      <c r="D139" s="415" t="s">
        <v>571</v>
      </c>
      <c r="E139" s="415">
        <v>10</v>
      </c>
      <c r="F139" s="415" t="s">
        <v>572</v>
      </c>
      <c r="G139" s="415">
        <v>15</v>
      </c>
      <c r="H139" s="415" t="s">
        <v>471</v>
      </c>
      <c r="I139" s="415" t="s">
        <v>573</v>
      </c>
      <c r="J139" s="415" t="s">
        <v>574</v>
      </c>
      <c r="K139" s="415">
        <v>16120211</v>
      </c>
      <c r="L139" s="41">
        <f>VLOOKUP(K139,WebPosting!$B$6:$B$561,1,FALSE)</f>
        <v>16120211</v>
      </c>
      <c r="M139" s="46">
        <f>(($V139*1000)*(IFERROR($T139-WebPosting!$K$1,"0")))</f>
        <v>620000000</v>
      </c>
      <c r="N139" s="43">
        <f t="shared" si="2"/>
        <v>125000</v>
      </c>
      <c r="O139" s="416" t="s">
        <v>672</v>
      </c>
      <c r="P139" s="416" t="s">
        <v>772</v>
      </c>
      <c r="Q139" s="416" t="s">
        <v>773</v>
      </c>
      <c r="R139" s="417">
        <v>42706</v>
      </c>
      <c r="S139" s="417">
        <v>42887</v>
      </c>
      <c r="T139" s="417">
        <v>42887</v>
      </c>
      <c r="U139" s="416">
        <v>1.25</v>
      </c>
      <c r="V139" s="418">
        <v>10000</v>
      </c>
      <c r="W139" s="419">
        <v>9937152.7799999993</v>
      </c>
      <c r="X139" s="416" t="s">
        <v>666</v>
      </c>
      <c r="Y139" s="416" t="s">
        <v>677</v>
      </c>
      <c r="Z139" s="416" t="s">
        <v>774</v>
      </c>
      <c r="AA139" s="416" t="s">
        <v>665</v>
      </c>
      <c r="AB139" s="416" t="s">
        <v>666</v>
      </c>
      <c r="AC139" s="416" t="s">
        <v>666</v>
      </c>
      <c r="AG139" s="53"/>
      <c r="AH139" s="54"/>
    </row>
    <row r="140" spans="1:34">
      <c r="A140" s="415">
        <v>3</v>
      </c>
      <c r="B140" s="415" t="s">
        <v>570</v>
      </c>
      <c r="C140" s="415">
        <v>60</v>
      </c>
      <c r="D140" s="415" t="s">
        <v>571</v>
      </c>
      <c r="E140" s="415">
        <v>10</v>
      </c>
      <c r="F140" s="415" t="s">
        <v>572</v>
      </c>
      <c r="G140" s="415">
        <v>15</v>
      </c>
      <c r="H140" s="415" t="s">
        <v>471</v>
      </c>
      <c r="I140" s="415" t="s">
        <v>573</v>
      </c>
      <c r="J140" s="415" t="s">
        <v>574</v>
      </c>
      <c r="K140" s="415">
        <v>16120612</v>
      </c>
      <c r="L140" s="41">
        <f>VLOOKUP(K140,WebPosting!$B$6:$B$561,1,FALSE)</f>
        <v>16120612</v>
      </c>
      <c r="M140" s="46">
        <f>(($V140*1000)*(IFERROR($T140-WebPosting!$K$1,"0")))</f>
        <v>3100000000</v>
      </c>
      <c r="N140" s="43">
        <f t="shared" si="2"/>
        <v>450000.00000000006</v>
      </c>
      <c r="O140" s="416" t="s">
        <v>672</v>
      </c>
      <c r="P140" s="416" t="s">
        <v>775</v>
      </c>
      <c r="Q140" s="416" t="s">
        <v>776</v>
      </c>
      <c r="R140" s="417">
        <v>42710</v>
      </c>
      <c r="S140" s="417">
        <v>42887</v>
      </c>
      <c r="T140" s="417">
        <v>42887</v>
      </c>
      <c r="U140" s="416">
        <v>0.9</v>
      </c>
      <c r="V140" s="418">
        <v>50000</v>
      </c>
      <c r="W140" s="419">
        <v>49778750</v>
      </c>
      <c r="X140" s="416" t="s">
        <v>666</v>
      </c>
      <c r="Y140" s="416" t="s">
        <v>677</v>
      </c>
      <c r="Z140" s="416" t="s">
        <v>777</v>
      </c>
      <c r="AA140" s="416" t="s">
        <v>665</v>
      </c>
      <c r="AB140" s="416" t="s">
        <v>666</v>
      </c>
      <c r="AC140" s="416" t="s">
        <v>666</v>
      </c>
      <c r="AG140" s="53"/>
      <c r="AH140" s="54"/>
    </row>
    <row r="141" spans="1:34">
      <c r="A141" s="415">
        <v>3</v>
      </c>
      <c r="B141" s="415" t="s">
        <v>570</v>
      </c>
      <c r="C141" s="415">
        <v>60</v>
      </c>
      <c r="D141" s="415" t="s">
        <v>571</v>
      </c>
      <c r="E141" s="415">
        <v>10</v>
      </c>
      <c r="F141" s="415" t="s">
        <v>572</v>
      </c>
      <c r="G141" s="415">
        <v>15</v>
      </c>
      <c r="H141" s="415" t="s">
        <v>471</v>
      </c>
      <c r="I141" s="415" t="s">
        <v>573</v>
      </c>
      <c r="J141" s="415" t="s">
        <v>574</v>
      </c>
      <c r="K141" s="415">
        <v>16120615</v>
      </c>
      <c r="L141" s="41">
        <f>VLOOKUP(K141,WebPosting!$B$6:$B$561,1,FALSE)</f>
        <v>16120615</v>
      </c>
      <c r="M141" s="46">
        <f>(($V141*1000)*(IFERROR($T141-WebPosting!$K$1,"0")))</f>
        <v>3100000000</v>
      </c>
      <c r="N141" s="43">
        <f t="shared" si="2"/>
        <v>460000</v>
      </c>
      <c r="O141" s="416" t="s">
        <v>672</v>
      </c>
      <c r="P141" s="416" t="s">
        <v>778</v>
      </c>
      <c r="Q141" s="416" t="s">
        <v>779</v>
      </c>
      <c r="R141" s="417">
        <v>42710</v>
      </c>
      <c r="S141" s="417">
        <v>42887</v>
      </c>
      <c r="T141" s="417">
        <v>42887</v>
      </c>
      <c r="U141" s="416">
        <v>0.92</v>
      </c>
      <c r="V141" s="418">
        <v>50000</v>
      </c>
      <c r="W141" s="419">
        <v>49773833.329999998</v>
      </c>
      <c r="X141" s="416" t="s">
        <v>666</v>
      </c>
      <c r="Y141" s="416" t="s">
        <v>677</v>
      </c>
      <c r="Z141" s="416" t="s">
        <v>777</v>
      </c>
      <c r="AA141" s="416" t="s">
        <v>665</v>
      </c>
      <c r="AB141" s="416" t="s">
        <v>666</v>
      </c>
      <c r="AC141" s="416" t="s">
        <v>666</v>
      </c>
      <c r="AG141" s="53"/>
      <c r="AH141" s="54"/>
    </row>
    <row r="142" spans="1:34">
      <c r="A142" s="415">
        <v>3</v>
      </c>
      <c r="B142" s="415" t="s">
        <v>570</v>
      </c>
      <c r="C142" s="415">
        <v>60</v>
      </c>
      <c r="D142" s="415" t="s">
        <v>571</v>
      </c>
      <c r="E142" s="415">
        <v>10</v>
      </c>
      <c r="F142" s="415" t="s">
        <v>572</v>
      </c>
      <c r="G142" s="415">
        <v>15</v>
      </c>
      <c r="H142" s="415" t="s">
        <v>471</v>
      </c>
      <c r="I142" s="415" t="s">
        <v>573</v>
      </c>
      <c r="J142" s="415" t="s">
        <v>574</v>
      </c>
      <c r="K142" s="415">
        <v>16120709</v>
      </c>
      <c r="L142" s="41">
        <f>VLOOKUP(K142,WebPosting!$B$6:$B$561,1,FALSE)</f>
        <v>16120709</v>
      </c>
      <c r="M142" s="46">
        <f>(($V142*1000)*(IFERROR($T142-WebPosting!$K$1,"0")))</f>
        <v>3100000000</v>
      </c>
      <c r="N142" s="43">
        <f t="shared" si="2"/>
        <v>475000</v>
      </c>
      <c r="O142" s="416" t="s">
        <v>672</v>
      </c>
      <c r="P142" s="416" t="s">
        <v>775</v>
      </c>
      <c r="Q142" s="416" t="s">
        <v>776</v>
      </c>
      <c r="R142" s="417">
        <v>42711</v>
      </c>
      <c r="S142" s="417">
        <v>42887</v>
      </c>
      <c r="T142" s="417">
        <v>42887</v>
      </c>
      <c r="U142" s="416">
        <v>0.95</v>
      </c>
      <c r="V142" s="418">
        <v>50000</v>
      </c>
      <c r="W142" s="419">
        <v>49767777.780000001</v>
      </c>
      <c r="X142" s="416" t="s">
        <v>666</v>
      </c>
      <c r="Y142" s="416" t="s">
        <v>677</v>
      </c>
      <c r="Z142" s="416" t="s">
        <v>777</v>
      </c>
      <c r="AA142" s="416" t="s">
        <v>665</v>
      </c>
      <c r="AB142" s="416" t="s">
        <v>666</v>
      </c>
      <c r="AC142" s="416" t="s">
        <v>666</v>
      </c>
      <c r="AG142" s="53"/>
      <c r="AH142" s="54"/>
    </row>
    <row r="143" spans="1:34">
      <c r="A143" s="415">
        <v>3</v>
      </c>
      <c r="B143" s="415" t="s">
        <v>570</v>
      </c>
      <c r="C143" s="415">
        <v>60</v>
      </c>
      <c r="D143" s="415" t="s">
        <v>571</v>
      </c>
      <c r="E143" s="415">
        <v>10</v>
      </c>
      <c r="F143" s="415" t="s">
        <v>572</v>
      </c>
      <c r="G143" s="415">
        <v>15</v>
      </c>
      <c r="H143" s="415" t="s">
        <v>471</v>
      </c>
      <c r="I143" s="415" t="s">
        <v>573</v>
      </c>
      <c r="J143" s="415" t="s">
        <v>574</v>
      </c>
      <c r="K143" s="415">
        <v>16120710</v>
      </c>
      <c r="L143" s="41">
        <f>VLOOKUP(K143,WebPosting!$B$6:$B$561,1,FALSE)</f>
        <v>16120710</v>
      </c>
      <c r="M143" s="46">
        <f>(($V143*1000)*(IFERROR($T143-WebPosting!$K$1,"0")))</f>
        <v>3100000000</v>
      </c>
      <c r="N143" s="43">
        <f t="shared" si="2"/>
        <v>475000</v>
      </c>
      <c r="O143" s="416" t="s">
        <v>672</v>
      </c>
      <c r="P143" s="416" t="s">
        <v>775</v>
      </c>
      <c r="Q143" s="416" t="s">
        <v>776</v>
      </c>
      <c r="R143" s="417">
        <v>42711</v>
      </c>
      <c r="S143" s="417">
        <v>42887</v>
      </c>
      <c r="T143" s="417">
        <v>42887</v>
      </c>
      <c r="U143" s="416">
        <v>0.95</v>
      </c>
      <c r="V143" s="418">
        <v>50000</v>
      </c>
      <c r="W143" s="419">
        <v>49767777.780000001</v>
      </c>
      <c r="X143" s="416" t="s">
        <v>666</v>
      </c>
      <c r="Y143" s="416" t="s">
        <v>677</v>
      </c>
      <c r="Z143" s="416" t="s">
        <v>777</v>
      </c>
      <c r="AA143" s="416" t="s">
        <v>665</v>
      </c>
      <c r="AB143" s="416" t="s">
        <v>666</v>
      </c>
      <c r="AC143" s="416" t="s">
        <v>666</v>
      </c>
      <c r="AG143" s="53"/>
      <c r="AH143" s="54"/>
    </row>
    <row r="144" spans="1:34">
      <c r="A144" s="415">
        <v>3</v>
      </c>
      <c r="B144" s="415" t="s">
        <v>570</v>
      </c>
      <c r="C144" s="415">
        <v>60</v>
      </c>
      <c r="D144" s="415" t="s">
        <v>571</v>
      </c>
      <c r="E144" s="415">
        <v>10</v>
      </c>
      <c r="F144" s="415" t="s">
        <v>572</v>
      </c>
      <c r="G144" s="415">
        <v>15</v>
      </c>
      <c r="H144" s="415" t="s">
        <v>471</v>
      </c>
      <c r="I144" s="415" t="s">
        <v>573</v>
      </c>
      <c r="J144" s="415" t="s">
        <v>574</v>
      </c>
      <c r="K144" s="415">
        <v>16120715</v>
      </c>
      <c r="L144" s="41">
        <f>VLOOKUP(K144,WebPosting!$B$6:$B$561,1,FALSE)</f>
        <v>16120715</v>
      </c>
      <c r="M144" s="46">
        <f>(($V144*1000)*(IFERROR($T144-WebPosting!$K$1,"0")))</f>
        <v>3100000000</v>
      </c>
      <c r="N144" s="43">
        <f t="shared" si="2"/>
        <v>465000.00000000006</v>
      </c>
      <c r="O144" s="416" t="s">
        <v>672</v>
      </c>
      <c r="P144" s="416" t="s">
        <v>780</v>
      </c>
      <c r="Q144" s="416" t="s">
        <v>781</v>
      </c>
      <c r="R144" s="417">
        <v>42711</v>
      </c>
      <c r="S144" s="417">
        <v>42887</v>
      </c>
      <c r="T144" s="417">
        <v>42887</v>
      </c>
      <c r="U144" s="416">
        <v>0.93</v>
      </c>
      <c r="V144" s="418">
        <v>50000</v>
      </c>
      <c r="W144" s="419">
        <v>49772666.670000002</v>
      </c>
      <c r="X144" s="416" t="s">
        <v>666</v>
      </c>
      <c r="Y144" s="416" t="s">
        <v>677</v>
      </c>
      <c r="Z144" s="416" t="s">
        <v>777</v>
      </c>
      <c r="AA144" s="416" t="s">
        <v>665</v>
      </c>
      <c r="AB144" s="416" t="s">
        <v>666</v>
      </c>
      <c r="AC144" s="416" t="s">
        <v>666</v>
      </c>
      <c r="AG144" s="53"/>
      <c r="AH144" s="54"/>
    </row>
    <row r="145" spans="1:34">
      <c r="A145" s="415">
        <v>3</v>
      </c>
      <c r="B145" s="415" t="s">
        <v>570</v>
      </c>
      <c r="C145" s="415">
        <v>60</v>
      </c>
      <c r="D145" s="415" t="s">
        <v>571</v>
      </c>
      <c r="E145" s="415">
        <v>10</v>
      </c>
      <c r="F145" s="415" t="s">
        <v>572</v>
      </c>
      <c r="G145" s="415">
        <v>15</v>
      </c>
      <c r="H145" s="415" t="s">
        <v>471</v>
      </c>
      <c r="I145" s="415" t="s">
        <v>573</v>
      </c>
      <c r="J145" s="415" t="s">
        <v>574</v>
      </c>
      <c r="K145" s="415">
        <v>16121209</v>
      </c>
      <c r="L145" s="41">
        <f>VLOOKUP(K145,WebPosting!$B$6:$B$561,1,FALSE)</f>
        <v>16121209</v>
      </c>
      <c r="M145" s="46">
        <f>(($V145*1000)*(IFERROR($T145-WebPosting!$K$1,"0")))</f>
        <v>3100000000</v>
      </c>
      <c r="N145" s="43">
        <f t="shared" si="2"/>
        <v>569999.99999999988</v>
      </c>
      <c r="O145" s="416" t="s">
        <v>672</v>
      </c>
      <c r="P145" s="416" t="s">
        <v>765</v>
      </c>
      <c r="Q145" s="416" t="s">
        <v>766</v>
      </c>
      <c r="R145" s="417">
        <v>42716</v>
      </c>
      <c r="S145" s="417">
        <v>42887</v>
      </c>
      <c r="T145" s="417">
        <v>42887</v>
      </c>
      <c r="U145" s="416">
        <v>1.1399999999999999</v>
      </c>
      <c r="V145" s="418">
        <v>50000</v>
      </c>
      <c r="W145" s="419">
        <v>49729250</v>
      </c>
      <c r="X145" s="416" t="s">
        <v>666</v>
      </c>
      <c r="Y145" s="416" t="s">
        <v>677</v>
      </c>
      <c r="Z145" s="416" t="s">
        <v>782</v>
      </c>
      <c r="AA145" s="416" t="s">
        <v>665</v>
      </c>
      <c r="AB145" s="416" t="s">
        <v>666</v>
      </c>
      <c r="AC145" s="416" t="s">
        <v>666</v>
      </c>
      <c r="AG145" s="53"/>
      <c r="AH145" s="54"/>
    </row>
    <row r="146" spans="1:34">
      <c r="A146" s="415">
        <v>3</v>
      </c>
      <c r="B146" s="415" t="s">
        <v>570</v>
      </c>
      <c r="C146" s="415">
        <v>60</v>
      </c>
      <c r="D146" s="415" t="s">
        <v>571</v>
      </c>
      <c r="E146" s="415">
        <v>10</v>
      </c>
      <c r="F146" s="415" t="s">
        <v>572</v>
      </c>
      <c r="G146" s="415">
        <v>15</v>
      </c>
      <c r="H146" s="415" t="s">
        <v>471</v>
      </c>
      <c r="I146" s="415" t="s">
        <v>573</v>
      </c>
      <c r="J146" s="415" t="s">
        <v>574</v>
      </c>
      <c r="K146" s="415">
        <v>17010916</v>
      </c>
      <c r="L146" s="41">
        <f>VLOOKUP(K146,WebPosting!$B$6:$B$561,1,FALSE)</f>
        <v>17010916</v>
      </c>
      <c r="M146" s="46">
        <f>(($V146*1000)*(IFERROR($T146-WebPosting!$K$1,"0")))</f>
        <v>3100000000</v>
      </c>
      <c r="N146" s="43">
        <f t="shared" si="2"/>
        <v>584999.99999999988</v>
      </c>
      <c r="O146" s="416" t="s">
        <v>672</v>
      </c>
      <c r="P146" s="416" t="s">
        <v>761</v>
      </c>
      <c r="Q146" s="416" t="s">
        <v>762</v>
      </c>
      <c r="R146" s="417">
        <v>42744</v>
      </c>
      <c r="S146" s="417">
        <v>42887</v>
      </c>
      <c r="T146" s="417">
        <v>42887</v>
      </c>
      <c r="U146" s="416">
        <v>1.17</v>
      </c>
      <c r="V146" s="418">
        <v>50000</v>
      </c>
      <c r="W146" s="419">
        <v>49767625</v>
      </c>
      <c r="X146" s="416" t="s">
        <v>666</v>
      </c>
      <c r="Y146" s="416" t="s">
        <v>677</v>
      </c>
      <c r="Z146" s="416" t="s">
        <v>782</v>
      </c>
      <c r="AA146" s="416" t="s">
        <v>665</v>
      </c>
      <c r="AB146" s="416" t="s">
        <v>666</v>
      </c>
      <c r="AC146" s="416" t="s">
        <v>666</v>
      </c>
      <c r="AG146" s="53"/>
      <c r="AH146" s="54"/>
    </row>
    <row r="147" spans="1:34">
      <c r="A147" s="415">
        <v>3</v>
      </c>
      <c r="B147" s="415" t="s">
        <v>570</v>
      </c>
      <c r="C147" s="415">
        <v>60</v>
      </c>
      <c r="D147" s="415" t="s">
        <v>571</v>
      </c>
      <c r="E147" s="415">
        <v>10</v>
      </c>
      <c r="F147" s="415" t="s">
        <v>572</v>
      </c>
      <c r="G147" s="415">
        <v>15</v>
      </c>
      <c r="H147" s="415" t="s">
        <v>471</v>
      </c>
      <c r="I147" s="415" t="s">
        <v>573</v>
      </c>
      <c r="J147" s="415" t="s">
        <v>574</v>
      </c>
      <c r="K147" s="415">
        <v>17011010</v>
      </c>
      <c r="L147" s="41">
        <f>VLOOKUP(K147,WebPosting!$B$6:$B$561,1,FALSE)</f>
        <v>17011010</v>
      </c>
      <c r="M147" s="46">
        <f>(($V147*1000)*(IFERROR($T147-WebPosting!$K$1,"0")))</f>
        <v>3100000000</v>
      </c>
      <c r="N147" s="43">
        <f t="shared" si="2"/>
        <v>584999.99999999988</v>
      </c>
      <c r="O147" s="416" t="s">
        <v>672</v>
      </c>
      <c r="P147" s="416" t="s">
        <v>761</v>
      </c>
      <c r="Q147" s="416" t="s">
        <v>762</v>
      </c>
      <c r="R147" s="417">
        <v>42745</v>
      </c>
      <c r="S147" s="417">
        <v>42887</v>
      </c>
      <c r="T147" s="417">
        <v>42887</v>
      </c>
      <c r="U147" s="416">
        <v>1.17</v>
      </c>
      <c r="V147" s="418">
        <v>50000</v>
      </c>
      <c r="W147" s="419">
        <v>49769250</v>
      </c>
      <c r="X147" s="416" t="s">
        <v>666</v>
      </c>
      <c r="Y147" s="416" t="s">
        <v>677</v>
      </c>
      <c r="Z147" s="416" t="s">
        <v>782</v>
      </c>
      <c r="AA147" s="416" t="s">
        <v>665</v>
      </c>
      <c r="AB147" s="416" t="s">
        <v>666</v>
      </c>
      <c r="AC147" s="416" t="s">
        <v>666</v>
      </c>
      <c r="AG147" s="53"/>
      <c r="AH147" s="54"/>
    </row>
    <row r="148" spans="1:34">
      <c r="A148" s="415">
        <v>3</v>
      </c>
      <c r="B148" s="415" t="s">
        <v>570</v>
      </c>
      <c r="C148" s="415">
        <v>60</v>
      </c>
      <c r="D148" s="415" t="s">
        <v>571</v>
      </c>
      <c r="E148" s="415">
        <v>10</v>
      </c>
      <c r="F148" s="415" t="s">
        <v>572</v>
      </c>
      <c r="G148" s="415">
        <v>15</v>
      </c>
      <c r="H148" s="415" t="s">
        <v>471</v>
      </c>
      <c r="I148" s="415" t="s">
        <v>573</v>
      </c>
      <c r="J148" s="415" t="s">
        <v>574</v>
      </c>
      <c r="K148" s="415">
        <v>17010610</v>
      </c>
      <c r="L148" s="41">
        <f>VLOOKUP(K148,WebPosting!$B$6:$B$561,1,FALSE)</f>
        <v>17010610</v>
      </c>
      <c r="M148" s="46">
        <f>(($V148*1000)*(IFERROR($T148-WebPosting!$K$1,"0")))</f>
        <v>3300000000</v>
      </c>
      <c r="N148" s="43">
        <f t="shared" si="2"/>
        <v>625000</v>
      </c>
      <c r="O148" s="416" t="s">
        <v>672</v>
      </c>
      <c r="P148" s="416" t="s">
        <v>772</v>
      </c>
      <c r="Q148" s="416" t="s">
        <v>773</v>
      </c>
      <c r="R148" s="417">
        <v>42741</v>
      </c>
      <c r="S148" s="417">
        <v>42891</v>
      </c>
      <c r="T148" s="417">
        <v>42891</v>
      </c>
      <c r="U148" s="416">
        <v>1.25</v>
      </c>
      <c r="V148" s="418">
        <v>50000</v>
      </c>
      <c r="W148" s="419">
        <v>49739583.329999998</v>
      </c>
      <c r="X148" s="416" t="s">
        <v>666</v>
      </c>
      <c r="Y148" s="416" t="s">
        <v>677</v>
      </c>
      <c r="Z148" s="416" t="s">
        <v>783</v>
      </c>
      <c r="AA148" s="416" t="s">
        <v>665</v>
      </c>
      <c r="AB148" s="416" t="s">
        <v>666</v>
      </c>
      <c r="AC148" s="416" t="s">
        <v>666</v>
      </c>
      <c r="AG148" s="53"/>
      <c r="AH148" s="54"/>
    </row>
    <row r="149" spans="1:34">
      <c r="A149" s="415">
        <v>3</v>
      </c>
      <c r="B149" s="415" t="s">
        <v>570</v>
      </c>
      <c r="C149" s="415">
        <v>60</v>
      </c>
      <c r="D149" s="415" t="s">
        <v>571</v>
      </c>
      <c r="E149" s="415">
        <v>10</v>
      </c>
      <c r="F149" s="415" t="s">
        <v>572</v>
      </c>
      <c r="G149" s="415">
        <v>15</v>
      </c>
      <c r="H149" s="415" t="s">
        <v>471</v>
      </c>
      <c r="I149" s="415" t="s">
        <v>573</v>
      </c>
      <c r="J149" s="415" t="s">
        <v>574</v>
      </c>
      <c r="K149" s="415">
        <v>17030801</v>
      </c>
      <c r="L149" s="41">
        <f>VLOOKUP(K149,WebPosting!$B$6:$B$561,1,FALSE)</f>
        <v>17030801</v>
      </c>
      <c r="M149" s="46">
        <f>(($V149*1000)*(IFERROR($T149-WebPosting!$K$1,"0")))</f>
        <v>1675000000</v>
      </c>
      <c r="N149" s="43">
        <f t="shared" si="2"/>
        <v>267500.00000000006</v>
      </c>
      <c r="O149" s="416" t="s">
        <v>672</v>
      </c>
      <c r="P149" s="416" t="s">
        <v>784</v>
      </c>
      <c r="Q149" s="416" t="s">
        <v>785</v>
      </c>
      <c r="R149" s="417">
        <v>42802</v>
      </c>
      <c r="S149" s="417">
        <v>42892</v>
      </c>
      <c r="T149" s="417">
        <v>42892</v>
      </c>
      <c r="U149" s="416">
        <v>1.07</v>
      </c>
      <c r="V149" s="418">
        <v>25000</v>
      </c>
      <c r="W149" s="419">
        <v>24933125</v>
      </c>
      <c r="X149" s="416" t="s">
        <v>666</v>
      </c>
      <c r="Y149" s="416" t="s">
        <v>677</v>
      </c>
      <c r="Z149" s="416" t="s">
        <v>786</v>
      </c>
      <c r="AA149" s="416" t="s">
        <v>665</v>
      </c>
      <c r="AB149" s="416" t="s">
        <v>666</v>
      </c>
      <c r="AC149" s="416" t="s">
        <v>666</v>
      </c>
      <c r="AG149" s="53"/>
      <c r="AH149" s="54"/>
    </row>
    <row r="150" spans="1:34">
      <c r="A150" s="415">
        <v>3</v>
      </c>
      <c r="B150" s="415" t="s">
        <v>570</v>
      </c>
      <c r="C150" s="415">
        <v>60</v>
      </c>
      <c r="D150" s="415" t="s">
        <v>571</v>
      </c>
      <c r="E150" s="415">
        <v>10</v>
      </c>
      <c r="F150" s="415" t="s">
        <v>572</v>
      </c>
      <c r="G150" s="415">
        <v>15</v>
      </c>
      <c r="H150" s="415" t="s">
        <v>471</v>
      </c>
      <c r="I150" s="415" t="s">
        <v>573</v>
      </c>
      <c r="J150" s="415" t="s">
        <v>574</v>
      </c>
      <c r="K150" s="415">
        <v>17030910</v>
      </c>
      <c r="L150" s="41">
        <f>VLOOKUP(K150,WebPosting!$B$6:$B$561,1,FALSE)</f>
        <v>17030910</v>
      </c>
      <c r="M150" s="46">
        <f>(($V150*1000)*(IFERROR($T150-WebPosting!$K$1,"0")))</f>
        <v>1700000000</v>
      </c>
      <c r="N150" s="43">
        <f t="shared" si="2"/>
        <v>270000</v>
      </c>
      <c r="O150" s="416" t="s">
        <v>672</v>
      </c>
      <c r="P150" s="416" t="s">
        <v>787</v>
      </c>
      <c r="Q150" s="416" t="s">
        <v>788</v>
      </c>
      <c r="R150" s="417">
        <v>42803</v>
      </c>
      <c r="S150" s="417">
        <v>42893</v>
      </c>
      <c r="T150" s="417">
        <v>42893</v>
      </c>
      <c r="U150" s="416">
        <v>1.08</v>
      </c>
      <c r="V150" s="418">
        <v>25000</v>
      </c>
      <c r="W150" s="419">
        <v>24932500</v>
      </c>
      <c r="X150" s="416" t="s">
        <v>666</v>
      </c>
      <c r="Y150" s="416" t="s">
        <v>677</v>
      </c>
      <c r="Z150" s="416" t="s">
        <v>789</v>
      </c>
      <c r="AA150" s="416" t="s">
        <v>665</v>
      </c>
      <c r="AB150" s="416" t="s">
        <v>666</v>
      </c>
      <c r="AC150" s="416" t="s">
        <v>666</v>
      </c>
      <c r="AG150" s="53"/>
      <c r="AH150" s="54"/>
    </row>
    <row r="151" spans="1:34">
      <c r="A151" s="415">
        <v>3</v>
      </c>
      <c r="B151" s="415" t="s">
        <v>570</v>
      </c>
      <c r="C151" s="415">
        <v>60</v>
      </c>
      <c r="D151" s="415" t="s">
        <v>571</v>
      </c>
      <c r="E151" s="415">
        <v>10</v>
      </c>
      <c r="F151" s="415" t="s">
        <v>572</v>
      </c>
      <c r="G151" s="415">
        <v>15</v>
      </c>
      <c r="H151" s="415" t="s">
        <v>471</v>
      </c>
      <c r="I151" s="415" t="s">
        <v>573</v>
      </c>
      <c r="J151" s="415" t="s">
        <v>574</v>
      </c>
      <c r="K151" s="415">
        <v>17020106</v>
      </c>
      <c r="L151" s="41">
        <f>VLOOKUP(K151,WebPosting!$B$6:$B$561,1,FALSE)</f>
        <v>17020106</v>
      </c>
      <c r="M151" s="46">
        <f>(($V151*1000)*(IFERROR($T151-WebPosting!$K$1,"0")))</f>
        <v>2905000000</v>
      </c>
      <c r="N151" s="43">
        <f t="shared" si="2"/>
        <v>385000.00000000006</v>
      </c>
      <c r="O151" s="416" t="s">
        <v>672</v>
      </c>
      <c r="P151" s="416" t="s">
        <v>772</v>
      </c>
      <c r="Q151" s="416" t="s">
        <v>773</v>
      </c>
      <c r="R151" s="417">
        <v>42767</v>
      </c>
      <c r="S151" s="417">
        <v>42908</v>
      </c>
      <c r="T151" s="417">
        <v>42908</v>
      </c>
      <c r="U151" s="416">
        <v>1.1000000000000001</v>
      </c>
      <c r="V151" s="418">
        <v>35000</v>
      </c>
      <c r="W151" s="419">
        <v>34849208.329999998</v>
      </c>
      <c r="X151" s="416" t="s">
        <v>666</v>
      </c>
      <c r="Y151" s="416" t="s">
        <v>677</v>
      </c>
      <c r="Z151" s="416" t="s">
        <v>790</v>
      </c>
      <c r="AA151" s="416" t="s">
        <v>665</v>
      </c>
      <c r="AB151" s="416" t="s">
        <v>666</v>
      </c>
      <c r="AC151" s="416" t="s">
        <v>666</v>
      </c>
      <c r="AG151" s="53"/>
      <c r="AH151" s="54"/>
    </row>
    <row r="152" spans="1:34">
      <c r="A152" s="415">
        <v>3</v>
      </c>
      <c r="B152" s="415" t="s">
        <v>570</v>
      </c>
      <c r="C152" s="415">
        <v>60</v>
      </c>
      <c r="D152" s="415" t="s">
        <v>571</v>
      </c>
      <c r="E152" s="415">
        <v>10</v>
      </c>
      <c r="F152" s="415" t="s">
        <v>572</v>
      </c>
      <c r="G152" s="415">
        <v>15</v>
      </c>
      <c r="H152" s="415" t="s">
        <v>471</v>
      </c>
      <c r="I152" s="415" t="s">
        <v>573</v>
      </c>
      <c r="J152" s="415" t="s">
        <v>574</v>
      </c>
      <c r="K152" s="415">
        <v>17010909</v>
      </c>
      <c r="L152" s="41">
        <f>VLOOKUP(K152,WebPosting!$B$6:$B$561,1,FALSE)</f>
        <v>17010909</v>
      </c>
      <c r="M152" s="46">
        <f>(($V152*1000)*(IFERROR($T152-WebPosting!$K$1,"0")))</f>
        <v>4700000000</v>
      </c>
      <c r="N152" s="43">
        <f t="shared" si="2"/>
        <v>584999.99999999988</v>
      </c>
      <c r="O152" s="416" t="s">
        <v>672</v>
      </c>
      <c r="P152" s="416" t="s">
        <v>765</v>
      </c>
      <c r="Q152" s="416" t="s">
        <v>766</v>
      </c>
      <c r="R152" s="417">
        <v>42744</v>
      </c>
      <c r="S152" s="417">
        <v>42919</v>
      </c>
      <c r="T152" s="417">
        <v>42919</v>
      </c>
      <c r="U152" s="416">
        <v>1.17</v>
      </c>
      <c r="V152" s="418">
        <v>50000</v>
      </c>
      <c r="W152" s="419">
        <v>49715625</v>
      </c>
      <c r="X152" s="416" t="s">
        <v>666</v>
      </c>
      <c r="Y152" s="416" t="s">
        <v>677</v>
      </c>
      <c r="Z152" s="416" t="s">
        <v>791</v>
      </c>
      <c r="AA152" s="416" t="s">
        <v>665</v>
      </c>
      <c r="AB152" s="416" t="s">
        <v>666</v>
      </c>
      <c r="AC152" s="416" t="s">
        <v>666</v>
      </c>
      <c r="AG152" s="53"/>
      <c r="AH152" s="54"/>
    </row>
    <row r="153" spans="1:34">
      <c r="A153" s="415">
        <v>3</v>
      </c>
      <c r="B153" s="415" t="s">
        <v>570</v>
      </c>
      <c r="C153" s="415">
        <v>60</v>
      </c>
      <c r="D153" s="415" t="s">
        <v>571</v>
      </c>
      <c r="E153" s="415">
        <v>10</v>
      </c>
      <c r="F153" s="415" t="s">
        <v>572</v>
      </c>
      <c r="G153" s="415">
        <v>15</v>
      </c>
      <c r="H153" s="415" t="s">
        <v>471</v>
      </c>
      <c r="I153" s="415" t="s">
        <v>573</v>
      </c>
      <c r="J153" s="415" t="s">
        <v>574</v>
      </c>
      <c r="K153" s="415">
        <v>17012312</v>
      </c>
      <c r="L153" s="41">
        <f>VLOOKUP(K153,WebPosting!$B$6:$B$561,1,FALSE)</f>
        <v>17012312</v>
      </c>
      <c r="M153" s="46">
        <f>(($V153*1000)*(IFERROR($T153-WebPosting!$K$1,"0")))</f>
        <v>4700000000</v>
      </c>
      <c r="N153" s="43">
        <f t="shared" si="2"/>
        <v>600000</v>
      </c>
      <c r="O153" s="416" t="s">
        <v>672</v>
      </c>
      <c r="P153" s="416" t="s">
        <v>763</v>
      </c>
      <c r="Q153" s="416" t="s">
        <v>764</v>
      </c>
      <c r="R153" s="417">
        <v>42758</v>
      </c>
      <c r="S153" s="417">
        <v>42919</v>
      </c>
      <c r="T153" s="417">
        <v>42919</v>
      </c>
      <c r="U153" s="416">
        <v>1.2</v>
      </c>
      <c r="V153" s="418">
        <v>50000</v>
      </c>
      <c r="W153" s="419">
        <v>49731666.670000002</v>
      </c>
      <c r="X153" s="416" t="s">
        <v>666</v>
      </c>
      <c r="Y153" s="416" t="s">
        <v>677</v>
      </c>
      <c r="Z153" s="416" t="s">
        <v>791</v>
      </c>
      <c r="AA153" s="416" t="s">
        <v>665</v>
      </c>
      <c r="AB153" s="416" t="s">
        <v>666</v>
      </c>
      <c r="AC153" s="416" t="s">
        <v>666</v>
      </c>
      <c r="AG153" s="53"/>
      <c r="AH153" s="54"/>
    </row>
    <row r="154" spans="1:34">
      <c r="A154" s="415">
        <v>3</v>
      </c>
      <c r="B154" s="415" t="s">
        <v>570</v>
      </c>
      <c r="C154" s="415">
        <v>60</v>
      </c>
      <c r="D154" s="415" t="s">
        <v>571</v>
      </c>
      <c r="E154" s="415">
        <v>10</v>
      </c>
      <c r="F154" s="415" t="s">
        <v>572</v>
      </c>
      <c r="G154" s="415">
        <v>15</v>
      </c>
      <c r="H154" s="415" t="s">
        <v>471</v>
      </c>
      <c r="I154" s="415" t="s">
        <v>573</v>
      </c>
      <c r="J154" s="415" t="s">
        <v>574</v>
      </c>
      <c r="K154" s="415">
        <v>17020903</v>
      </c>
      <c r="L154" s="41">
        <f>VLOOKUP(K154,WebPosting!$B$6:$B$561,1,FALSE)</f>
        <v>17020903</v>
      </c>
      <c r="M154" s="46">
        <f>(($V154*1000)*(IFERROR($T154-WebPosting!$K$1,"0")))</f>
        <v>4700000000</v>
      </c>
      <c r="N154" s="43">
        <f t="shared" si="2"/>
        <v>490000</v>
      </c>
      <c r="O154" s="416" t="s">
        <v>672</v>
      </c>
      <c r="P154" s="416" t="s">
        <v>792</v>
      </c>
      <c r="Q154" s="416" t="s">
        <v>793</v>
      </c>
      <c r="R154" s="417">
        <v>42775</v>
      </c>
      <c r="S154" s="417">
        <v>42919</v>
      </c>
      <c r="T154" s="417">
        <v>42919</v>
      </c>
      <c r="U154" s="416">
        <v>0.98</v>
      </c>
      <c r="V154" s="418">
        <v>50000</v>
      </c>
      <c r="W154" s="419">
        <v>49804000</v>
      </c>
      <c r="X154" s="416" t="s">
        <v>666</v>
      </c>
      <c r="Y154" s="416" t="s">
        <v>677</v>
      </c>
      <c r="Z154" s="416" t="s">
        <v>794</v>
      </c>
      <c r="AA154" s="416" t="s">
        <v>665</v>
      </c>
      <c r="AB154" s="416" t="s">
        <v>666</v>
      </c>
      <c r="AC154" s="416" t="s">
        <v>666</v>
      </c>
      <c r="AG154" s="53"/>
      <c r="AH154" s="54"/>
    </row>
    <row r="155" spans="1:34">
      <c r="A155" s="415">
        <v>3</v>
      </c>
      <c r="B155" s="415" t="s">
        <v>570</v>
      </c>
      <c r="C155" s="415">
        <v>60</v>
      </c>
      <c r="D155" s="415" t="s">
        <v>571</v>
      </c>
      <c r="E155" s="415">
        <v>10</v>
      </c>
      <c r="F155" s="415" t="s">
        <v>572</v>
      </c>
      <c r="G155" s="415">
        <v>15</v>
      </c>
      <c r="H155" s="415" t="s">
        <v>471</v>
      </c>
      <c r="I155" s="415" t="s">
        <v>573</v>
      </c>
      <c r="J155" s="415" t="s">
        <v>574</v>
      </c>
      <c r="K155" s="415">
        <v>17031002</v>
      </c>
      <c r="L155" s="41">
        <f>VLOOKUP(K155,WebPosting!$B$6:$B$561,1,FALSE)</f>
        <v>17031002</v>
      </c>
      <c r="M155" s="46">
        <f>(($V155*1000)*(IFERROR($T155-WebPosting!$K$1,"0")))</f>
        <v>9400000000</v>
      </c>
      <c r="N155" s="43">
        <f t="shared" si="2"/>
        <v>1090000</v>
      </c>
      <c r="O155" s="416" t="s">
        <v>672</v>
      </c>
      <c r="P155" s="416" t="s">
        <v>792</v>
      </c>
      <c r="Q155" s="416" t="s">
        <v>793</v>
      </c>
      <c r="R155" s="417">
        <v>42804</v>
      </c>
      <c r="S155" s="417">
        <v>42919</v>
      </c>
      <c r="T155" s="417">
        <v>42919</v>
      </c>
      <c r="U155" s="416">
        <v>1.0900000000000001</v>
      </c>
      <c r="V155" s="418">
        <v>100000</v>
      </c>
      <c r="W155" s="419">
        <v>99651805.560000002</v>
      </c>
      <c r="X155" s="416" t="s">
        <v>666</v>
      </c>
      <c r="Y155" s="416" t="s">
        <v>677</v>
      </c>
      <c r="Z155" s="416" t="s">
        <v>794</v>
      </c>
      <c r="AA155" s="416" t="s">
        <v>665</v>
      </c>
      <c r="AB155" s="416" t="s">
        <v>666</v>
      </c>
      <c r="AC155" s="416" t="s">
        <v>666</v>
      </c>
      <c r="AG155" s="53"/>
      <c r="AH155" s="54"/>
    </row>
    <row r="156" spans="1:34">
      <c r="A156" s="415">
        <v>3</v>
      </c>
      <c r="B156" s="415" t="s">
        <v>570</v>
      </c>
      <c r="C156" s="415">
        <v>60</v>
      </c>
      <c r="D156" s="415" t="s">
        <v>571</v>
      </c>
      <c r="E156" s="415">
        <v>10</v>
      </c>
      <c r="F156" s="415" t="s">
        <v>572</v>
      </c>
      <c r="G156" s="415">
        <v>15</v>
      </c>
      <c r="H156" s="415" t="s">
        <v>471</v>
      </c>
      <c r="I156" s="415" t="s">
        <v>573</v>
      </c>
      <c r="J156" s="415" t="s">
        <v>574</v>
      </c>
      <c r="K156" s="415">
        <v>17031302</v>
      </c>
      <c r="L156" s="41">
        <f>VLOOKUP(K156,WebPosting!$B$6:$B$561,1,FALSE)</f>
        <v>17031302</v>
      </c>
      <c r="M156" s="46">
        <f>(($V156*1000)*(IFERROR($T156-WebPosting!$K$1,"0")))</f>
        <v>4700000000</v>
      </c>
      <c r="N156" s="43">
        <f t="shared" si="2"/>
        <v>545000</v>
      </c>
      <c r="O156" s="416" t="s">
        <v>672</v>
      </c>
      <c r="P156" s="416" t="s">
        <v>792</v>
      </c>
      <c r="Q156" s="416" t="s">
        <v>793</v>
      </c>
      <c r="R156" s="417">
        <v>42807</v>
      </c>
      <c r="S156" s="417">
        <v>42919</v>
      </c>
      <c r="T156" s="417">
        <v>42919</v>
      </c>
      <c r="U156" s="416">
        <v>1.0900000000000001</v>
      </c>
      <c r="V156" s="418">
        <v>50000</v>
      </c>
      <c r="W156" s="419">
        <v>49830444.439999998</v>
      </c>
      <c r="X156" s="416" t="s">
        <v>666</v>
      </c>
      <c r="Y156" s="416" t="s">
        <v>677</v>
      </c>
      <c r="Z156" s="416" t="s">
        <v>794</v>
      </c>
      <c r="AA156" s="416" t="s">
        <v>665</v>
      </c>
      <c r="AB156" s="416" t="s">
        <v>666</v>
      </c>
      <c r="AC156" s="416" t="s">
        <v>666</v>
      </c>
      <c r="AG156" s="53"/>
      <c r="AH156" s="54"/>
    </row>
    <row r="157" spans="1:34">
      <c r="A157" s="415">
        <v>3</v>
      </c>
      <c r="B157" s="415" t="s">
        <v>570</v>
      </c>
      <c r="C157" s="415">
        <v>60</v>
      </c>
      <c r="D157" s="415" t="s">
        <v>571</v>
      </c>
      <c r="E157" s="415">
        <v>10</v>
      </c>
      <c r="F157" s="415" t="s">
        <v>572</v>
      </c>
      <c r="G157" s="415">
        <v>15</v>
      </c>
      <c r="H157" s="415" t="s">
        <v>471</v>
      </c>
      <c r="I157" s="415" t="s">
        <v>573</v>
      </c>
      <c r="J157" s="415" t="s">
        <v>574</v>
      </c>
      <c r="K157" s="415">
        <v>17032313</v>
      </c>
      <c r="L157" s="41">
        <f>VLOOKUP(K157,WebPosting!$B$6:$B$561,1,FALSE)</f>
        <v>17032313</v>
      </c>
      <c r="M157" s="46">
        <f>(($V157*1000)*(IFERROR($T157-WebPosting!$K$1,"0")))</f>
        <v>9400000000</v>
      </c>
      <c r="N157" s="43">
        <f t="shared" si="2"/>
        <v>1150000</v>
      </c>
      <c r="O157" s="416" t="s">
        <v>672</v>
      </c>
      <c r="P157" s="416" t="s">
        <v>792</v>
      </c>
      <c r="Q157" s="416" t="s">
        <v>793</v>
      </c>
      <c r="R157" s="417">
        <v>42817</v>
      </c>
      <c r="S157" s="417">
        <v>42919</v>
      </c>
      <c r="T157" s="417">
        <v>42919</v>
      </c>
      <c r="U157" s="416">
        <v>1.1499999999999999</v>
      </c>
      <c r="V157" s="418">
        <v>100000</v>
      </c>
      <c r="W157" s="419">
        <v>99674166.659999996</v>
      </c>
      <c r="X157" s="416" t="s">
        <v>666</v>
      </c>
      <c r="Y157" s="416" t="s">
        <v>677</v>
      </c>
      <c r="Z157" s="416" t="s">
        <v>794</v>
      </c>
      <c r="AA157" s="416" t="s">
        <v>665</v>
      </c>
      <c r="AB157" s="416" t="s">
        <v>666</v>
      </c>
      <c r="AC157" s="416" t="s">
        <v>666</v>
      </c>
      <c r="AG157" s="53"/>
      <c r="AH157" s="54"/>
    </row>
    <row r="158" spans="1:34">
      <c r="A158" s="415">
        <v>3</v>
      </c>
      <c r="B158" s="415" t="s">
        <v>570</v>
      </c>
      <c r="C158" s="415">
        <v>60</v>
      </c>
      <c r="D158" s="415" t="s">
        <v>571</v>
      </c>
      <c r="E158" s="415">
        <v>10</v>
      </c>
      <c r="F158" s="415" t="s">
        <v>572</v>
      </c>
      <c r="G158" s="415">
        <v>15</v>
      </c>
      <c r="H158" s="415" t="s">
        <v>471</v>
      </c>
      <c r="I158" s="415" t="s">
        <v>573</v>
      </c>
      <c r="J158" s="415" t="s">
        <v>574</v>
      </c>
      <c r="K158" s="415">
        <v>17020801</v>
      </c>
      <c r="L158" s="41">
        <f>VLOOKUP(K158,WebPosting!$B$6:$B$561,1,FALSE)</f>
        <v>17020801</v>
      </c>
      <c r="M158" s="46">
        <f>(($V158*1000)*(IFERROR($T158-WebPosting!$K$1,"0")))</f>
        <v>4900000000</v>
      </c>
      <c r="N158" s="43">
        <f t="shared" si="2"/>
        <v>479999.99999999994</v>
      </c>
      <c r="O158" s="416" t="s">
        <v>672</v>
      </c>
      <c r="P158" s="416" t="s">
        <v>741</v>
      </c>
      <c r="Q158" s="416" t="s">
        <v>742</v>
      </c>
      <c r="R158" s="417">
        <v>42774</v>
      </c>
      <c r="S158" s="417">
        <v>42923</v>
      </c>
      <c r="T158" s="417">
        <v>42923</v>
      </c>
      <c r="U158" s="416">
        <v>0.96</v>
      </c>
      <c r="V158" s="418">
        <v>50000</v>
      </c>
      <c r="W158" s="419">
        <v>49801333.329999998</v>
      </c>
      <c r="X158" s="416" t="s">
        <v>666</v>
      </c>
      <c r="Y158" s="416" t="s">
        <v>677</v>
      </c>
      <c r="Z158" s="416" t="s">
        <v>795</v>
      </c>
      <c r="AA158" s="416" t="s">
        <v>665</v>
      </c>
      <c r="AB158" s="416" t="s">
        <v>666</v>
      </c>
      <c r="AC158" s="416" t="s">
        <v>666</v>
      </c>
      <c r="AG158" s="53"/>
      <c r="AH158" s="54"/>
    </row>
    <row r="159" spans="1:34">
      <c r="A159" s="415">
        <v>3</v>
      </c>
      <c r="B159" s="415" t="s">
        <v>570</v>
      </c>
      <c r="C159" s="415">
        <v>60</v>
      </c>
      <c r="D159" s="415" t="s">
        <v>571</v>
      </c>
      <c r="E159" s="415">
        <v>10</v>
      </c>
      <c r="F159" s="415" t="s">
        <v>572</v>
      </c>
      <c r="G159" s="415">
        <v>15</v>
      </c>
      <c r="H159" s="415" t="s">
        <v>471</v>
      </c>
      <c r="I159" s="415" t="s">
        <v>573</v>
      </c>
      <c r="J159" s="415" t="s">
        <v>574</v>
      </c>
      <c r="K159" s="415">
        <v>17011001</v>
      </c>
      <c r="L159" s="41">
        <f>VLOOKUP(K159,WebPosting!$B$6:$B$561,1,FALSE)</f>
        <v>17011001</v>
      </c>
      <c r="M159" s="46">
        <f>(($V159*1000)*(IFERROR($T159-WebPosting!$K$1,"0")))</f>
        <v>4040000000</v>
      </c>
      <c r="N159" s="43">
        <f t="shared" si="2"/>
        <v>532000</v>
      </c>
      <c r="O159" s="416" t="s">
        <v>672</v>
      </c>
      <c r="P159" s="416" t="s">
        <v>772</v>
      </c>
      <c r="Q159" s="416" t="s">
        <v>773</v>
      </c>
      <c r="R159" s="417">
        <v>42745</v>
      </c>
      <c r="S159" s="417">
        <v>42926</v>
      </c>
      <c r="T159" s="417">
        <v>42926</v>
      </c>
      <c r="U159" s="416">
        <v>1.33</v>
      </c>
      <c r="V159" s="418">
        <v>40000</v>
      </c>
      <c r="W159" s="419">
        <v>39732522.219999999</v>
      </c>
      <c r="X159" s="416" t="s">
        <v>666</v>
      </c>
      <c r="Y159" s="416" t="s">
        <v>677</v>
      </c>
      <c r="Z159" s="416" t="s">
        <v>796</v>
      </c>
      <c r="AA159" s="416" t="s">
        <v>665</v>
      </c>
      <c r="AB159" s="416" t="s">
        <v>666</v>
      </c>
      <c r="AC159" s="416" t="s">
        <v>666</v>
      </c>
      <c r="AG159" s="53"/>
      <c r="AH159" s="54"/>
    </row>
    <row r="160" spans="1:34">
      <c r="A160" s="415">
        <v>3</v>
      </c>
      <c r="B160" s="415" t="s">
        <v>570</v>
      </c>
      <c r="C160" s="415">
        <v>60</v>
      </c>
      <c r="D160" s="415" t="s">
        <v>571</v>
      </c>
      <c r="E160" s="415">
        <v>10</v>
      </c>
      <c r="F160" s="415" t="s">
        <v>572</v>
      </c>
      <c r="G160" s="415">
        <v>15</v>
      </c>
      <c r="H160" s="415" t="s">
        <v>471</v>
      </c>
      <c r="I160" s="415" t="s">
        <v>573</v>
      </c>
      <c r="J160" s="415" t="s">
        <v>574</v>
      </c>
      <c r="K160" s="415">
        <v>17020701</v>
      </c>
      <c r="L160" s="41">
        <f>VLOOKUP(K160,WebPosting!$B$6:$B$561,1,FALSE)</f>
        <v>17020701</v>
      </c>
      <c r="M160" s="46">
        <f>(($V160*1000)*(IFERROR($T160-WebPosting!$K$1,"0")))</f>
        <v>5050000000</v>
      </c>
      <c r="N160" s="43">
        <f t="shared" si="2"/>
        <v>479999.99999999994</v>
      </c>
      <c r="O160" s="416" t="s">
        <v>672</v>
      </c>
      <c r="P160" s="416" t="s">
        <v>778</v>
      </c>
      <c r="Q160" s="416" t="s">
        <v>779</v>
      </c>
      <c r="R160" s="417">
        <v>42773</v>
      </c>
      <c r="S160" s="417">
        <v>42926</v>
      </c>
      <c r="T160" s="417">
        <v>42926</v>
      </c>
      <c r="U160" s="416">
        <v>0.96</v>
      </c>
      <c r="V160" s="418">
        <v>50000</v>
      </c>
      <c r="W160" s="419">
        <v>49796000</v>
      </c>
      <c r="X160" s="416" t="s">
        <v>666</v>
      </c>
      <c r="Y160" s="416" t="s">
        <v>677</v>
      </c>
      <c r="Z160" s="416" t="s">
        <v>797</v>
      </c>
      <c r="AA160" s="416" t="s">
        <v>665</v>
      </c>
      <c r="AB160" s="416" t="s">
        <v>666</v>
      </c>
      <c r="AC160" s="416" t="s">
        <v>666</v>
      </c>
      <c r="AG160" s="53"/>
      <c r="AH160" s="54"/>
    </row>
    <row r="161" spans="1:34">
      <c r="A161" s="415">
        <v>3</v>
      </c>
      <c r="B161" s="415" t="s">
        <v>570</v>
      </c>
      <c r="C161" s="415">
        <v>60</v>
      </c>
      <c r="D161" s="415" t="s">
        <v>571</v>
      </c>
      <c r="E161" s="415">
        <v>10</v>
      </c>
      <c r="F161" s="415" t="s">
        <v>572</v>
      </c>
      <c r="G161" s="415">
        <v>15</v>
      </c>
      <c r="H161" s="415" t="s">
        <v>471</v>
      </c>
      <c r="I161" s="415" t="s">
        <v>573</v>
      </c>
      <c r="J161" s="415" t="s">
        <v>574</v>
      </c>
      <c r="K161" s="415">
        <v>17020802</v>
      </c>
      <c r="L161" s="41">
        <f>VLOOKUP(K161,WebPosting!$B$6:$B$561,1,FALSE)</f>
        <v>17020802</v>
      </c>
      <c r="M161" s="46">
        <f>(($V161*1000)*(IFERROR($T161-WebPosting!$K$1,"0")))</f>
        <v>5050000000</v>
      </c>
      <c r="N161" s="43">
        <f t="shared" si="2"/>
        <v>475000</v>
      </c>
      <c r="O161" s="416" t="s">
        <v>672</v>
      </c>
      <c r="P161" s="416" t="s">
        <v>775</v>
      </c>
      <c r="Q161" s="416" t="s">
        <v>776</v>
      </c>
      <c r="R161" s="417">
        <v>42774</v>
      </c>
      <c r="S161" s="417">
        <v>42926</v>
      </c>
      <c r="T161" s="417">
        <v>42926</v>
      </c>
      <c r="U161" s="416">
        <v>0.95</v>
      </c>
      <c r="V161" s="418">
        <v>50000</v>
      </c>
      <c r="W161" s="419">
        <v>49799444.439999998</v>
      </c>
      <c r="X161" s="416" t="s">
        <v>666</v>
      </c>
      <c r="Y161" s="416" t="s">
        <v>677</v>
      </c>
      <c r="Z161" s="416" t="s">
        <v>797</v>
      </c>
      <c r="AA161" s="416" t="s">
        <v>665</v>
      </c>
      <c r="AB161" s="416" t="s">
        <v>666</v>
      </c>
      <c r="AC161" s="416" t="s">
        <v>666</v>
      </c>
      <c r="AG161" s="53"/>
      <c r="AH161" s="54"/>
    </row>
    <row r="162" spans="1:34">
      <c r="A162" s="415">
        <v>3</v>
      </c>
      <c r="B162" s="415" t="s">
        <v>570</v>
      </c>
      <c r="C162" s="415">
        <v>60</v>
      </c>
      <c r="D162" s="415" t="s">
        <v>571</v>
      </c>
      <c r="E162" s="415">
        <v>10</v>
      </c>
      <c r="F162" s="415" t="s">
        <v>572</v>
      </c>
      <c r="G162" s="415">
        <v>15</v>
      </c>
      <c r="H162" s="415" t="s">
        <v>471</v>
      </c>
      <c r="I162" s="415" t="s">
        <v>573</v>
      </c>
      <c r="J162" s="415" t="s">
        <v>574</v>
      </c>
      <c r="K162" s="415">
        <v>17020610</v>
      </c>
      <c r="L162" s="41">
        <f>VLOOKUP(K162,WebPosting!$B$6:$B$561,1,FALSE)</f>
        <v>17020610</v>
      </c>
      <c r="M162" s="46">
        <f>(($V162*1000)*(IFERROR($T162-WebPosting!$K$1,"0")))</f>
        <v>5600000000</v>
      </c>
      <c r="N162" s="43">
        <f t="shared" si="2"/>
        <v>479999.99999999994</v>
      </c>
      <c r="O162" s="416" t="s">
        <v>672</v>
      </c>
      <c r="P162" s="416" t="s">
        <v>798</v>
      </c>
      <c r="Q162" s="416" t="s">
        <v>799</v>
      </c>
      <c r="R162" s="417">
        <v>42772</v>
      </c>
      <c r="S162" s="417">
        <v>42937</v>
      </c>
      <c r="T162" s="417">
        <v>42937</v>
      </c>
      <c r="U162" s="416">
        <v>0.96</v>
      </c>
      <c r="V162" s="418">
        <v>50000</v>
      </c>
      <c r="W162" s="419">
        <v>49780000</v>
      </c>
      <c r="X162" s="416" t="s">
        <v>666</v>
      </c>
      <c r="Y162" s="416" t="s">
        <v>677</v>
      </c>
      <c r="Z162" s="416" t="s">
        <v>800</v>
      </c>
      <c r="AA162" s="416" t="s">
        <v>665</v>
      </c>
      <c r="AB162" s="416" t="s">
        <v>666</v>
      </c>
      <c r="AC162" s="416" t="s">
        <v>666</v>
      </c>
      <c r="AG162" s="53"/>
      <c r="AH162" s="54"/>
    </row>
    <row r="163" spans="1:34">
      <c r="A163" s="415">
        <v>3</v>
      </c>
      <c r="B163" s="415" t="s">
        <v>570</v>
      </c>
      <c r="C163" s="415">
        <v>60</v>
      </c>
      <c r="D163" s="415" t="s">
        <v>571</v>
      </c>
      <c r="E163" s="415">
        <v>10</v>
      </c>
      <c r="F163" s="415" t="s">
        <v>572</v>
      </c>
      <c r="G163" s="415">
        <v>15</v>
      </c>
      <c r="H163" s="415" t="s">
        <v>471</v>
      </c>
      <c r="I163" s="415" t="s">
        <v>573</v>
      </c>
      <c r="J163" s="415" t="s">
        <v>574</v>
      </c>
      <c r="K163" s="415">
        <v>17020703</v>
      </c>
      <c r="L163" s="41">
        <f>VLOOKUP(K163,WebPosting!$B$6:$B$561,1,FALSE)</f>
        <v>17020703</v>
      </c>
      <c r="M163" s="46">
        <f>(($V163*1000)*(IFERROR($T163-WebPosting!$K$1,"0")))</f>
        <v>5600000000</v>
      </c>
      <c r="N163" s="43">
        <f t="shared" si="2"/>
        <v>485000</v>
      </c>
      <c r="O163" s="416" t="s">
        <v>672</v>
      </c>
      <c r="P163" s="416" t="s">
        <v>801</v>
      </c>
      <c r="Q163" s="416" t="s">
        <v>802</v>
      </c>
      <c r="R163" s="417">
        <v>42773</v>
      </c>
      <c r="S163" s="417">
        <v>42937</v>
      </c>
      <c r="T163" s="417">
        <v>42937</v>
      </c>
      <c r="U163" s="416">
        <v>0.97</v>
      </c>
      <c r="V163" s="418">
        <v>50000</v>
      </c>
      <c r="W163" s="419">
        <v>49779055.560000002</v>
      </c>
      <c r="X163" s="416" t="s">
        <v>666</v>
      </c>
      <c r="Y163" s="416" t="s">
        <v>677</v>
      </c>
      <c r="Z163" s="416" t="s">
        <v>800</v>
      </c>
      <c r="AA163" s="416" t="s">
        <v>665</v>
      </c>
      <c r="AB163" s="416" t="s">
        <v>666</v>
      </c>
      <c r="AC163" s="416" t="s">
        <v>666</v>
      </c>
      <c r="AG163" s="53"/>
      <c r="AH163" s="54"/>
    </row>
    <row r="164" spans="1:34">
      <c r="A164" s="415">
        <v>3</v>
      </c>
      <c r="B164" s="415" t="s">
        <v>570</v>
      </c>
      <c r="C164" s="415">
        <v>60</v>
      </c>
      <c r="D164" s="415" t="s">
        <v>571</v>
      </c>
      <c r="E164" s="415">
        <v>10</v>
      </c>
      <c r="F164" s="415" t="s">
        <v>572</v>
      </c>
      <c r="G164" s="415">
        <v>15</v>
      </c>
      <c r="H164" s="415" t="s">
        <v>471</v>
      </c>
      <c r="I164" s="415" t="s">
        <v>573</v>
      </c>
      <c r="J164" s="415" t="s">
        <v>574</v>
      </c>
      <c r="K164" s="415">
        <v>17020107</v>
      </c>
      <c r="L164" s="41">
        <f>VLOOKUP(K164,WebPosting!$B$6:$B$561,1,FALSE)</f>
        <v>17020107</v>
      </c>
      <c r="M164" s="46">
        <f>(($V164*1000)*(IFERROR($T164-WebPosting!$K$1,"0")))</f>
        <v>3690000000</v>
      </c>
      <c r="N164" s="43">
        <f t="shared" si="2"/>
        <v>384000</v>
      </c>
      <c r="O164" s="416" t="s">
        <v>672</v>
      </c>
      <c r="P164" s="416" t="s">
        <v>772</v>
      </c>
      <c r="Q164" s="416" t="s">
        <v>773</v>
      </c>
      <c r="R164" s="417">
        <v>42767</v>
      </c>
      <c r="S164" s="417">
        <v>42948</v>
      </c>
      <c r="T164" s="417">
        <v>42948</v>
      </c>
      <c r="U164" s="416">
        <v>1.28</v>
      </c>
      <c r="V164" s="418">
        <v>30000</v>
      </c>
      <c r="W164" s="419">
        <v>29806933.329999998</v>
      </c>
      <c r="X164" s="416" t="s">
        <v>666</v>
      </c>
      <c r="Y164" s="416" t="s">
        <v>677</v>
      </c>
      <c r="Z164" s="416" t="s">
        <v>803</v>
      </c>
      <c r="AA164" s="416" t="s">
        <v>665</v>
      </c>
      <c r="AB164" s="416" t="s">
        <v>666</v>
      </c>
      <c r="AC164" s="416" t="s">
        <v>666</v>
      </c>
      <c r="AG164" s="53"/>
      <c r="AH164" s="54"/>
    </row>
    <row r="165" spans="1:34">
      <c r="A165" s="415">
        <v>3</v>
      </c>
      <c r="B165" s="415" t="s">
        <v>570</v>
      </c>
      <c r="C165" s="415">
        <v>60</v>
      </c>
      <c r="D165" s="415" t="s">
        <v>571</v>
      </c>
      <c r="E165" s="415">
        <v>10</v>
      </c>
      <c r="F165" s="415" t="s">
        <v>572</v>
      </c>
      <c r="G165" s="415">
        <v>15</v>
      </c>
      <c r="H165" s="415" t="s">
        <v>471</v>
      </c>
      <c r="I165" s="415" t="s">
        <v>573</v>
      </c>
      <c r="J165" s="415" t="s">
        <v>574</v>
      </c>
      <c r="K165" s="415">
        <v>17020917</v>
      </c>
      <c r="L165" s="41">
        <f>VLOOKUP(K165,WebPosting!$B$6:$B$561,1,FALSE)</f>
        <v>17020917</v>
      </c>
      <c r="M165" s="46">
        <f>(($V165*1000)*(IFERROR($T165-WebPosting!$K$1,"0")))</f>
        <v>6150000000</v>
      </c>
      <c r="N165" s="43">
        <f t="shared" si="2"/>
        <v>485000</v>
      </c>
      <c r="O165" s="416" t="s">
        <v>672</v>
      </c>
      <c r="P165" s="416" t="s">
        <v>804</v>
      </c>
      <c r="Q165" s="416" t="s">
        <v>805</v>
      </c>
      <c r="R165" s="417">
        <v>42775</v>
      </c>
      <c r="S165" s="417">
        <v>42948</v>
      </c>
      <c r="T165" s="417">
        <v>42948</v>
      </c>
      <c r="U165" s="416">
        <v>0.97</v>
      </c>
      <c r="V165" s="418">
        <v>50000</v>
      </c>
      <c r="W165" s="419">
        <v>49766930.560000002</v>
      </c>
      <c r="X165" s="416" t="s">
        <v>666</v>
      </c>
      <c r="Y165" s="416" t="s">
        <v>677</v>
      </c>
      <c r="Z165" s="416" t="s">
        <v>806</v>
      </c>
      <c r="AA165" s="416" t="s">
        <v>665</v>
      </c>
      <c r="AB165" s="416" t="s">
        <v>666</v>
      </c>
      <c r="AC165" s="416" t="s">
        <v>666</v>
      </c>
      <c r="AG165" s="53"/>
      <c r="AH165" s="54"/>
    </row>
    <row r="166" spans="1:34">
      <c r="A166" s="415">
        <v>3</v>
      </c>
      <c r="B166" s="415" t="s">
        <v>570</v>
      </c>
      <c r="C166" s="415">
        <v>60</v>
      </c>
      <c r="D166" s="415" t="s">
        <v>571</v>
      </c>
      <c r="E166" s="415">
        <v>10</v>
      </c>
      <c r="F166" s="415" t="s">
        <v>572</v>
      </c>
      <c r="G166" s="415">
        <v>15</v>
      </c>
      <c r="H166" s="415" t="s">
        <v>471</v>
      </c>
      <c r="I166" s="415" t="s">
        <v>573</v>
      </c>
      <c r="J166" s="415" t="s">
        <v>574</v>
      </c>
      <c r="K166" s="415">
        <v>17021011</v>
      </c>
      <c r="L166" s="41">
        <f>VLOOKUP(K166,WebPosting!$B$6:$B$561,1,FALSE)</f>
        <v>17021011</v>
      </c>
      <c r="M166" s="46">
        <f>(($V166*1000)*(IFERROR($T166-WebPosting!$K$1,"0")))</f>
        <v>6150000000</v>
      </c>
      <c r="N166" s="43">
        <f t="shared" si="2"/>
        <v>485000</v>
      </c>
      <c r="O166" s="416" t="s">
        <v>672</v>
      </c>
      <c r="P166" s="416" t="s">
        <v>804</v>
      </c>
      <c r="Q166" s="416" t="s">
        <v>805</v>
      </c>
      <c r="R166" s="417">
        <v>42776</v>
      </c>
      <c r="S166" s="417">
        <v>42948</v>
      </c>
      <c r="T166" s="417">
        <v>42948</v>
      </c>
      <c r="U166" s="416">
        <v>0.97</v>
      </c>
      <c r="V166" s="418">
        <v>50000</v>
      </c>
      <c r="W166" s="419">
        <v>49768277.780000001</v>
      </c>
      <c r="X166" s="416" t="s">
        <v>666</v>
      </c>
      <c r="Y166" s="416" t="s">
        <v>677</v>
      </c>
      <c r="Z166" s="416" t="s">
        <v>806</v>
      </c>
      <c r="AA166" s="416" t="s">
        <v>665</v>
      </c>
      <c r="AB166" s="416" t="s">
        <v>666</v>
      </c>
      <c r="AC166" s="416" t="s">
        <v>666</v>
      </c>
      <c r="AG166" s="53"/>
      <c r="AH166" s="54"/>
    </row>
    <row r="167" spans="1:34">
      <c r="A167" s="415">
        <v>3</v>
      </c>
      <c r="B167" s="415" t="s">
        <v>570</v>
      </c>
      <c r="C167" s="415">
        <v>60</v>
      </c>
      <c r="D167" s="415" t="s">
        <v>571</v>
      </c>
      <c r="E167" s="415">
        <v>10</v>
      </c>
      <c r="F167" s="415" t="s">
        <v>572</v>
      </c>
      <c r="G167" s="415">
        <v>15</v>
      </c>
      <c r="H167" s="415" t="s">
        <v>471</v>
      </c>
      <c r="I167" s="415" t="s">
        <v>573</v>
      </c>
      <c r="J167" s="415" t="s">
        <v>574</v>
      </c>
      <c r="K167" s="415">
        <v>17021411</v>
      </c>
      <c r="L167" s="41">
        <f>VLOOKUP(K167,WebPosting!$B$6:$B$561,1,FALSE)</f>
        <v>17021411</v>
      </c>
      <c r="M167" s="46">
        <f>(($V167*1000)*(IFERROR($T167-WebPosting!$K$1,"0")))</f>
        <v>6150000000</v>
      </c>
      <c r="N167" s="43">
        <f t="shared" si="2"/>
        <v>485000</v>
      </c>
      <c r="O167" s="416" t="s">
        <v>672</v>
      </c>
      <c r="P167" s="416" t="s">
        <v>804</v>
      </c>
      <c r="Q167" s="416" t="s">
        <v>805</v>
      </c>
      <c r="R167" s="417">
        <v>42780</v>
      </c>
      <c r="S167" s="417">
        <v>42948</v>
      </c>
      <c r="T167" s="417">
        <v>42948</v>
      </c>
      <c r="U167" s="416">
        <v>0.97</v>
      </c>
      <c r="V167" s="418">
        <v>50000</v>
      </c>
      <c r="W167" s="419">
        <v>49773666.670000002</v>
      </c>
      <c r="X167" s="416" t="s">
        <v>666</v>
      </c>
      <c r="Y167" s="416" t="s">
        <v>677</v>
      </c>
      <c r="Z167" s="416" t="s">
        <v>806</v>
      </c>
      <c r="AA167" s="416" t="s">
        <v>665</v>
      </c>
      <c r="AB167" s="416" t="s">
        <v>666</v>
      </c>
      <c r="AC167" s="416" t="s">
        <v>666</v>
      </c>
      <c r="AG167" s="53"/>
      <c r="AH167" s="54"/>
    </row>
    <row r="168" spans="1:34">
      <c r="A168" s="415">
        <v>3</v>
      </c>
      <c r="B168" s="415" t="s">
        <v>570</v>
      </c>
      <c r="C168" s="415">
        <v>60</v>
      </c>
      <c r="D168" s="415" t="s">
        <v>571</v>
      </c>
      <c r="E168" s="415">
        <v>10</v>
      </c>
      <c r="F168" s="415" t="s">
        <v>572</v>
      </c>
      <c r="G168" s="415">
        <v>15</v>
      </c>
      <c r="H168" s="415" t="s">
        <v>471</v>
      </c>
      <c r="I168" s="415" t="s">
        <v>573</v>
      </c>
      <c r="J168" s="415" t="s">
        <v>574</v>
      </c>
      <c r="K168" s="415">
        <v>17021501</v>
      </c>
      <c r="L168" s="41">
        <f>VLOOKUP(K168,WebPosting!$B$6:$B$561,1,FALSE)</f>
        <v>17021501</v>
      </c>
      <c r="M168" s="46">
        <f>(($V168*1000)*(IFERROR($T168-WebPosting!$K$1,"0")))</f>
        <v>6150000000</v>
      </c>
      <c r="N168" s="43">
        <f t="shared" si="2"/>
        <v>485000</v>
      </c>
      <c r="O168" s="416" t="s">
        <v>672</v>
      </c>
      <c r="P168" s="416" t="s">
        <v>804</v>
      </c>
      <c r="Q168" s="416" t="s">
        <v>805</v>
      </c>
      <c r="R168" s="417">
        <v>42781</v>
      </c>
      <c r="S168" s="417">
        <v>42948</v>
      </c>
      <c r="T168" s="417">
        <v>42948</v>
      </c>
      <c r="U168" s="416">
        <v>0.97</v>
      </c>
      <c r="V168" s="418">
        <v>50000</v>
      </c>
      <c r="W168" s="419">
        <v>49775013.890000001</v>
      </c>
      <c r="X168" s="416" t="s">
        <v>666</v>
      </c>
      <c r="Y168" s="416" t="s">
        <v>677</v>
      </c>
      <c r="Z168" s="416" t="s">
        <v>806</v>
      </c>
      <c r="AA168" s="416" t="s">
        <v>665</v>
      </c>
      <c r="AB168" s="416" t="s">
        <v>666</v>
      </c>
      <c r="AC168" s="416" t="s">
        <v>666</v>
      </c>
      <c r="AG168" s="53"/>
      <c r="AH168" s="54"/>
    </row>
    <row r="169" spans="1:34">
      <c r="A169" s="415">
        <v>3</v>
      </c>
      <c r="B169" s="415" t="s">
        <v>570</v>
      </c>
      <c r="C169" s="415">
        <v>60</v>
      </c>
      <c r="D169" s="415" t="s">
        <v>571</v>
      </c>
      <c r="E169" s="415">
        <v>10</v>
      </c>
      <c r="F169" s="415" t="s">
        <v>572</v>
      </c>
      <c r="G169" s="415">
        <v>15</v>
      </c>
      <c r="H169" s="415" t="s">
        <v>471</v>
      </c>
      <c r="I169" s="415" t="s">
        <v>573</v>
      </c>
      <c r="J169" s="415" t="s">
        <v>574</v>
      </c>
      <c r="K169" s="415">
        <v>17031315</v>
      </c>
      <c r="L169" s="41">
        <f>VLOOKUP(K169,WebPosting!$B$6:$B$561,1,FALSE)</f>
        <v>17031315</v>
      </c>
      <c r="M169" s="46">
        <f>(($V169*1000)*(IFERROR($T169-WebPosting!$K$1,"0")))</f>
        <v>3075000000</v>
      </c>
      <c r="N169" s="43">
        <f t="shared" si="2"/>
        <v>250000</v>
      </c>
      <c r="O169" s="416" t="s">
        <v>672</v>
      </c>
      <c r="P169" s="416" t="s">
        <v>804</v>
      </c>
      <c r="Q169" s="416" t="s">
        <v>805</v>
      </c>
      <c r="R169" s="417">
        <v>42807</v>
      </c>
      <c r="S169" s="417">
        <v>42948</v>
      </c>
      <c r="T169" s="417">
        <v>42948</v>
      </c>
      <c r="U169" s="416">
        <v>1</v>
      </c>
      <c r="V169" s="418">
        <v>25000</v>
      </c>
      <c r="W169" s="419">
        <v>24902083.329999998</v>
      </c>
      <c r="X169" s="416" t="s">
        <v>666</v>
      </c>
      <c r="Y169" s="416" t="s">
        <v>677</v>
      </c>
      <c r="Z169" s="416" t="s">
        <v>806</v>
      </c>
      <c r="AA169" s="416" t="s">
        <v>665</v>
      </c>
      <c r="AB169" s="416" t="s">
        <v>666</v>
      </c>
      <c r="AC169" s="416" t="s">
        <v>666</v>
      </c>
      <c r="AG169" s="53"/>
      <c r="AH169" s="54"/>
    </row>
    <row r="170" spans="1:34">
      <c r="A170" s="415">
        <v>3</v>
      </c>
      <c r="B170" s="415" t="s">
        <v>570</v>
      </c>
      <c r="C170" s="415">
        <v>60</v>
      </c>
      <c r="D170" s="415" t="s">
        <v>571</v>
      </c>
      <c r="E170" s="415">
        <v>10</v>
      </c>
      <c r="F170" s="415" t="s">
        <v>572</v>
      </c>
      <c r="G170" s="415">
        <v>15</v>
      </c>
      <c r="H170" s="415" t="s">
        <v>471</v>
      </c>
      <c r="I170" s="415" t="s">
        <v>573</v>
      </c>
      <c r="J170" s="415" t="s">
        <v>574</v>
      </c>
      <c r="K170" s="415">
        <v>17021001</v>
      </c>
      <c r="L170" s="41">
        <f>VLOOKUP(K170,WebPosting!$B$6:$B$561,1,FALSE)</f>
        <v>17021001</v>
      </c>
      <c r="M170" s="46">
        <f>(($V170*1000)*(IFERROR($T170-WebPosting!$K$1,"0")))</f>
        <v>6500000000</v>
      </c>
      <c r="N170" s="43">
        <f t="shared" si="2"/>
        <v>515000</v>
      </c>
      <c r="O170" s="416" t="s">
        <v>672</v>
      </c>
      <c r="P170" s="416" t="s">
        <v>807</v>
      </c>
      <c r="Q170" s="416" t="s">
        <v>808</v>
      </c>
      <c r="R170" s="417">
        <v>42776</v>
      </c>
      <c r="S170" s="417">
        <v>42955</v>
      </c>
      <c r="T170" s="417">
        <v>42955</v>
      </c>
      <c r="U170" s="416">
        <v>1.03</v>
      </c>
      <c r="V170" s="418">
        <v>50000</v>
      </c>
      <c r="W170" s="419">
        <v>49743930.560000002</v>
      </c>
      <c r="X170" s="416" t="s">
        <v>666</v>
      </c>
      <c r="Y170" s="416" t="s">
        <v>677</v>
      </c>
      <c r="Z170" s="416" t="s">
        <v>809</v>
      </c>
      <c r="AA170" s="416" t="s">
        <v>665</v>
      </c>
      <c r="AB170" s="416" t="s">
        <v>666</v>
      </c>
      <c r="AC170" s="416" t="s">
        <v>666</v>
      </c>
      <c r="AG170" s="53"/>
      <c r="AH170" s="54"/>
    </row>
    <row r="171" spans="1:34">
      <c r="A171" s="415">
        <v>3</v>
      </c>
      <c r="B171" s="415" t="s">
        <v>570</v>
      </c>
      <c r="C171" s="415">
        <v>60</v>
      </c>
      <c r="D171" s="415" t="s">
        <v>571</v>
      </c>
      <c r="E171" s="415">
        <v>10</v>
      </c>
      <c r="F171" s="415" t="s">
        <v>572</v>
      </c>
      <c r="G171" s="415">
        <v>15</v>
      </c>
      <c r="H171" s="415" t="s">
        <v>471</v>
      </c>
      <c r="I171" s="415" t="s">
        <v>573</v>
      </c>
      <c r="J171" s="415" t="s">
        <v>574</v>
      </c>
      <c r="K171" s="415">
        <v>17021013</v>
      </c>
      <c r="L171" s="41">
        <f>VLOOKUP(K171,WebPosting!$B$6:$B$561,1,FALSE)</f>
        <v>17021013</v>
      </c>
      <c r="M171" s="46">
        <f>(($V171*1000)*(IFERROR($T171-WebPosting!$K$1,"0")))</f>
        <v>6550000000</v>
      </c>
      <c r="N171" s="43">
        <f t="shared" si="2"/>
        <v>510000.00000000006</v>
      </c>
      <c r="O171" s="416" t="s">
        <v>672</v>
      </c>
      <c r="P171" s="416" t="s">
        <v>810</v>
      </c>
      <c r="Q171" s="416" t="s">
        <v>811</v>
      </c>
      <c r="R171" s="417">
        <v>42776</v>
      </c>
      <c r="S171" s="417">
        <v>42956</v>
      </c>
      <c r="T171" s="417">
        <v>42956</v>
      </c>
      <c r="U171" s="416">
        <v>1.02</v>
      </c>
      <c r="V171" s="418">
        <v>50000</v>
      </c>
      <c r="W171" s="419">
        <v>49745000</v>
      </c>
      <c r="X171" s="416" t="s">
        <v>666</v>
      </c>
      <c r="Y171" s="416" t="s">
        <v>677</v>
      </c>
      <c r="Z171" s="416" t="s">
        <v>812</v>
      </c>
      <c r="AA171" s="416" t="s">
        <v>665</v>
      </c>
      <c r="AB171" s="416" t="s">
        <v>666</v>
      </c>
      <c r="AC171" s="416" t="s">
        <v>666</v>
      </c>
      <c r="AG171" s="53"/>
      <c r="AH171" s="54"/>
    </row>
    <row r="172" spans="1:34">
      <c r="A172" s="415">
        <v>3</v>
      </c>
      <c r="B172" s="415" t="s">
        <v>570</v>
      </c>
      <c r="C172" s="415">
        <v>60</v>
      </c>
      <c r="D172" s="415" t="s">
        <v>571</v>
      </c>
      <c r="E172" s="415">
        <v>10</v>
      </c>
      <c r="F172" s="415" t="s">
        <v>572</v>
      </c>
      <c r="G172" s="415">
        <v>15</v>
      </c>
      <c r="H172" s="415" t="s">
        <v>471</v>
      </c>
      <c r="I172" s="415" t="s">
        <v>573</v>
      </c>
      <c r="J172" s="415" t="s">
        <v>574</v>
      </c>
      <c r="K172" s="415">
        <v>17022204</v>
      </c>
      <c r="L172" s="41">
        <f>VLOOKUP(K172,WebPosting!$B$6:$B$561,1,FALSE)</f>
        <v>17022204</v>
      </c>
      <c r="M172" s="46">
        <f>(($V172*1000)*(IFERROR($T172-WebPosting!$K$1,"0")))</f>
        <v>3850000000</v>
      </c>
      <c r="N172" s="43">
        <f t="shared" si="2"/>
        <v>252500</v>
      </c>
      <c r="O172" s="416" t="s">
        <v>672</v>
      </c>
      <c r="P172" s="416" t="s">
        <v>804</v>
      </c>
      <c r="Q172" s="416" t="s">
        <v>805</v>
      </c>
      <c r="R172" s="417">
        <v>42788</v>
      </c>
      <c r="S172" s="417">
        <v>42979</v>
      </c>
      <c r="T172" s="417">
        <v>42979</v>
      </c>
      <c r="U172" s="416">
        <v>1.01</v>
      </c>
      <c r="V172" s="418">
        <v>25000</v>
      </c>
      <c r="W172" s="419">
        <v>24866034.719999999</v>
      </c>
      <c r="X172" s="416" t="s">
        <v>666</v>
      </c>
      <c r="Y172" s="416" t="s">
        <v>677</v>
      </c>
      <c r="Z172" s="416" t="s">
        <v>813</v>
      </c>
      <c r="AA172" s="416" t="s">
        <v>665</v>
      </c>
      <c r="AB172" s="416" t="s">
        <v>666</v>
      </c>
      <c r="AC172" s="416" t="s">
        <v>666</v>
      </c>
      <c r="AG172" s="53"/>
      <c r="AH172" s="54"/>
    </row>
    <row r="173" spans="1:34">
      <c r="A173" s="415">
        <v>3</v>
      </c>
      <c r="B173" s="415" t="s">
        <v>570</v>
      </c>
      <c r="C173" s="415">
        <v>60</v>
      </c>
      <c r="D173" s="415" t="s">
        <v>571</v>
      </c>
      <c r="E173" s="415">
        <v>10</v>
      </c>
      <c r="F173" s="415" t="s">
        <v>572</v>
      </c>
      <c r="G173" s="415">
        <v>15</v>
      </c>
      <c r="H173" s="415" t="s">
        <v>471</v>
      </c>
      <c r="I173" s="415" t="s">
        <v>573</v>
      </c>
      <c r="J173" s="415" t="s">
        <v>574</v>
      </c>
      <c r="K173" s="415">
        <v>17022314</v>
      </c>
      <c r="L173" s="41">
        <f>VLOOKUP(K173,WebPosting!$B$6:$B$561,1,FALSE)</f>
        <v>17022314</v>
      </c>
      <c r="M173" s="46">
        <f>(($V173*1000)*(IFERROR($T173-WebPosting!$K$1,"0")))</f>
        <v>3850000000</v>
      </c>
      <c r="N173" s="43">
        <f t="shared" si="2"/>
        <v>252500</v>
      </c>
      <c r="O173" s="416" t="s">
        <v>672</v>
      </c>
      <c r="P173" s="416" t="s">
        <v>804</v>
      </c>
      <c r="Q173" s="416" t="s">
        <v>805</v>
      </c>
      <c r="R173" s="417">
        <v>42789</v>
      </c>
      <c r="S173" s="417">
        <v>42979</v>
      </c>
      <c r="T173" s="417">
        <v>42979</v>
      </c>
      <c r="U173" s="416">
        <v>1.01</v>
      </c>
      <c r="V173" s="418">
        <v>25000</v>
      </c>
      <c r="W173" s="419">
        <v>24866736.109999999</v>
      </c>
      <c r="X173" s="416" t="s">
        <v>666</v>
      </c>
      <c r="Y173" s="416" t="s">
        <v>677</v>
      </c>
      <c r="Z173" s="416" t="s">
        <v>813</v>
      </c>
      <c r="AA173" s="416" t="s">
        <v>665</v>
      </c>
      <c r="AB173" s="416" t="s">
        <v>666</v>
      </c>
      <c r="AC173" s="416" t="s">
        <v>666</v>
      </c>
      <c r="AG173" s="53"/>
      <c r="AH173" s="54"/>
    </row>
    <row r="174" spans="1:34">
      <c r="A174" s="415">
        <v>3</v>
      </c>
      <c r="B174" s="415" t="s">
        <v>570</v>
      </c>
      <c r="C174" s="415">
        <v>60</v>
      </c>
      <c r="D174" s="415" t="s">
        <v>571</v>
      </c>
      <c r="E174" s="415">
        <v>10</v>
      </c>
      <c r="F174" s="415" t="s">
        <v>572</v>
      </c>
      <c r="G174" s="415">
        <v>15</v>
      </c>
      <c r="H174" s="415" t="s">
        <v>471</v>
      </c>
      <c r="I174" s="415" t="s">
        <v>573</v>
      </c>
      <c r="J174" s="415" t="s">
        <v>574</v>
      </c>
      <c r="K174" s="415">
        <v>17022402</v>
      </c>
      <c r="L174" s="41">
        <f>VLOOKUP(K174,WebPosting!$B$6:$B$561,1,FALSE)</f>
        <v>17022402</v>
      </c>
      <c r="M174" s="46">
        <f>(($V174*1000)*(IFERROR($T174-WebPosting!$K$1,"0")))</f>
        <v>7700000000</v>
      </c>
      <c r="N174" s="43">
        <f t="shared" si="2"/>
        <v>520000</v>
      </c>
      <c r="O174" s="416" t="s">
        <v>672</v>
      </c>
      <c r="P174" s="416" t="s">
        <v>810</v>
      </c>
      <c r="Q174" s="416" t="s">
        <v>811</v>
      </c>
      <c r="R174" s="417">
        <v>42790</v>
      </c>
      <c r="S174" s="417">
        <v>42979</v>
      </c>
      <c r="T174" s="417">
        <v>42979</v>
      </c>
      <c r="U174" s="416">
        <v>1.04</v>
      </c>
      <c r="V174" s="418">
        <v>50000</v>
      </c>
      <c r="W174" s="419">
        <v>49727000</v>
      </c>
      <c r="X174" s="416" t="s">
        <v>666</v>
      </c>
      <c r="Y174" s="416" t="s">
        <v>677</v>
      </c>
      <c r="Z174" s="416" t="s">
        <v>814</v>
      </c>
      <c r="AA174" s="416" t="s">
        <v>665</v>
      </c>
      <c r="AB174" s="416" t="s">
        <v>666</v>
      </c>
      <c r="AC174" s="416" t="s">
        <v>666</v>
      </c>
      <c r="AG174" s="53"/>
      <c r="AH174" s="54"/>
    </row>
    <row r="175" spans="1:34">
      <c r="A175" s="415">
        <v>3</v>
      </c>
      <c r="B175" s="415" t="s">
        <v>570</v>
      </c>
      <c r="C175" s="415">
        <v>60</v>
      </c>
      <c r="D175" s="415" t="s">
        <v>571</v>
      </c>
      <c r="E175" s="415">
        <v>10</v>
      </c>
      <c r="F175" s="415" t="s">
        <v>572</v>
      </c>
      <c r="G175" s="415">
        <v>15</v>
      </c>
      <c r="H175" s="415" t="s">
        <v>471</v>
      </c>
      <c r="I175" s="415" t="s">
        <v>573</v>
      </c>
      <c r="J175" s="415" t="s">
        <v>574</v>
      </c>
      <c r="K175" s="415">
        <v>17022710</v>
      </c>
      <c r="L175" s="41">
        <f>VLOOKUP(K175,WebPosting!$B$6:$B$561,1,FALSE)</f>
        <v>17022710</v>
      </c>
      <c r="M175" s="46">
        <f>(($V175*1000)*(IFERROR($T175-WebPosting!$K$1,"0")))</f>
        <v>7700000000</v>
      </c>
      <c r="N175" s="43">
        <f t="shared" si="2"/>
        <v>510000.00000000006</v>
      </c>
      <c r="O175" s="416" t="s">
        <v>672</v>
      </c>
      <c r="P175" s="416" t="s">
        <v>804</v>
      </c>
      <c r="Q175" s="416" t="s">
        <v>805</v>
      </c>
      <c r="R175" s="417">
        <v>42793</v>
      </c>
      <c r="S175" s="417">
        <v>42979</v>
      </c>
      <c r="T175" s="417">
        <v>42979</v>
      </c>
      <c r="U175" s="416">
        <v>1.02</v>
      </c>
      <c r="V175" s="418">
        <v>50000</v>
      </c>
      <c r="W175" s="419">
        <v>49736500</v>
      </c>
      <c r="X175" s="416" t="s">
        <v>666</v>
      </c>
      <c r="Y175" s="416" t="s">
        <v>677</v>
      </c>
      <c r="Z175" s="416" t="s">
        <v>813</v>
      </c>
      <c r="AA175" s="416" t="s">
        <v>665</v>
      </c>
      <c r="AB175" s="416" t="s">
        <v>666</v>
      </c>
      <c r="AC175" s="416" t="s">
        <v>666</v>
      </c>
      <c r="AG175" s="53"/>
      <c r="AH175" s="54"/>
    </row>
    <row r="176" spans="1:34">
      <c r="A176" s="415">
        <v>3</v>
      </c>
      <c r="B176" s="415" t="s">
        <v>570</v>
      </c>
      <c r="C176" s="415">
        <v>60</v>
      </c>
      <c r="D176" s="415" t="s">
        <v>571</v>
      </c>
      <c r="E176" s="415">
        <v>10</v>
      </c>
      <c r="F176" s="415" t="s">
        <v>572</v>
      </c>
      <c r="G176" s="415">
        <v>15</v>
      </c>
      <c r="H176" s="415" t="s">
        <v>471</v>
      </c>
      <c r="I176" s="415" t="s">
        <v>573</v>
      </c>
      <c r="J176" s="415" t="s">
        <v>574</v>
      </c>
      <c r="K176" s="415">
        <v>17030101</v>
      </c>
      <c r="L176" s="41">
        <f>VLOOKUP(K176,WebPosting!$B$6:$B$561,1,FALSE)</f>
        <v>17030101</v>
      </c>
      <c r="M176" s="46">
        <f>(($V176*1000)*(IFERROR($T176-WebPosting!$K$1,"0")))</f>
        <v>15400000000</v>
      </c>
      <c r="N176" s="43">
        <f t="shared" si="2"/>
        <v>1355000</v>
      </c>
      <c r="O176" s="416" t="s">
        <v>672</v>
      </c>
      <c r="P176" s="416" t="s">
        <v>772</v>
      </c>
      <c r="Q176" s="416" t="s">
        <v>773</v>
      </c>
      <c r="R176" s="417">
        <v>42795</v>
      </c>
      <c r="S176" s="417">
        <v>42979</v>
      </c>
      <c r="T176" s="417">
        <v>42979</v>
      </c>
      <c r="U176" s="416">
        <v>1.355</v>
      </c>
      <c r="V176" s="418">
        <v>100000</v>
      </c>
      <c r="W176" s="419">
        <v>99307444.439999998</v>
      </c>
      <c r="X176" s="416" t="s">
        <v>666</v>
      </c>
      <c r="Y176" s="416" t="s">
        <v>677</v>
      </c>
      <c r="Z176" s="416" t="s">
        <v>815</v>
      </c>
      <c r="AA176" s="416" t="s">
        <v>665</v>
      </c>
      <c r="AB176" s="416" t="s">
        <v>666</v>
      </c>
      <c r="AC176" s="416" t="s">
        <v>666</v>
      </c>
      <c r="AG176" s="53"/>
      <c r="AH176" s="54"/>
    </row>
    <row r="177" spans="1:34">
      <c r="A177" s="415">
        <v>3</v>
      </c>
      <c r="B177" s="415" t="s">
        <v>570</v>
      </c>
      <c r="C177" s="415">
        <v>60</v>
      </c>
      <c r="D177" s="415" t="s">
        <v>571</v>
      </c>
      <c r="E177" s="415">
        <v>10</v>
      </c>
      <c r="F177" s="415" t="s">
        <v>572</v>
      </c>
      <c r="G177" s="415">
        <v>15</v>
      </c>
      <c r="H177" s="415" t="s">
        <v>471</v>
      </c>
      <c r="I177" s="415" t="s">
        <v>573</v>
      </c>
      <c r="J177" s="415" t="s">
        <v>574</v>
      </c>
      <c r="K177" s="415">
        <v>17030102</v>
      </c>
      <c r="L177" s="41">
        <f>VLOOKUP(K177,WebPosting!$B$6:$B$561,1,FALSE)</f>
        <v>17030102</v>
      </c>
      <c r="M177" s="46">
        <f>(($V177*1000)*(IFERROR($T177-WebPosting!$K$1,"0")))</f>
        <v>3080000000</v>
      </c>
      <c r="N177" s="43">
        <f t="shared" si="2"/>
        <v>271000</v>
      </c>
      <c r="O177" s="416" t="s">
        <v>672</v>
      </c>
      <c r="P177" s="416" t="s">
        <v>772</v>
      </c>
      <c r="Q177" s="416" t="s">
        <v>773</v>
      </c>
      <c r="R177" s="417">
        <v>42795</v>
      </c>
      <c r="S177" s="417">
        <v>42979</v>
      </c>
      <c r="T177" s="417">
        <v>42979</v>
      </c>
      <c r="U177" s="416">
        <v>1.355</v>
      </c>
      <c r="V177" s="418">
        <v>20000</v>
      </c>
      <c r="W177" s="419">
        <v>19861488.890000001</v>
      </c>
      <c r="X177" s="416" t="s">
        <v>666</v>
      </c>
      <c r="Y177" s="416" t="s">
        <v>677</v>
      </c>
      <c r="Z177" s="416" t="s">
        <v>815</v>
      </c>
      <c r="AA177" s="416" t="s">
        <v>665</v>
      </c>
      <c r="AB177" s="416" t="s">
        <v>666</v>
      </c>
      <c r="AC177" s="416" t="s">
        <v>666</v>
      </c>
      <c r="AG177" s="53"/>
      <c r="AH177" s="54"/>
    </row>
    <row r="178" spans="1:34">
      <c r="A178" s="415">
        <v>2</v>
      </c>
      <c r="B178" s="415" t="s">
        <v>343</v>
      </c>
      <c r="C178" s="415">
        <v>61</v>
      </c>
      <c r="D178" s="415" t="s">
        <v>575</v>
      </c>
      <c r="E178" s="415">
        <v>10</v>
      </c>
      <c r="F178" s="415" t="s">
        <v>576</v>
      </c>
      <c r="G178" s="415">
        <v>90</v>
      </c>
      <c r="H178" s="415" t="s">
        <v>435</v>
      </c>
      <c r="I178" s="415" t="s">
        <v>577</v>
      </c>
      <c r="J178" s="415" t="s">
        <v>578</v>
      </c>
      <c r="K178" s="415">
        <v>15051301</v>
      </c>
      <c r="L178" s="41">
        <f>VLOOKUP(K178,WebPosting!$B$6:$B$561,1,FALSE)</f>
        <v>15051301</v>
      </c>
      <c r="M178" s="46">
        <f>(($V178*1000)*(IFERROR($T178-WebPosting!$K$1,"0")))</f>
        <v>0</v>
      </c>
      <c r="N178" s="43">
        <f t="shared" si="2"/>
        <v>203985.1441334</v>
      </c>
      <c r="O178" s="416" t="s">
        <v>672</v>
      </c>
      <c r="P178" s="416" t="s">
        <v>699</v>
      </c>
      <c r="Q178" s="416" t="s">
        <v>700</v>
      </c>
      <c r="R178" s="417">
        <v>42124</v>
      </c>
      <c r="S178" s="416" t="s">
        <v>696</v>
      </c>
      <c r="T178" s="416" t="s">
        <v>696</v>
      </c>
      <c r="U178" s="416">
        <v>8.1077109999999994E-2</v>
      </c>
      <c r="V178" s="418">
        <v>251594</v>
      </c>
      <c r="W178" s="419">
        <v>251593750</v>
      </c>
      <c r="X178" s="416" t="s">
        <v>666</v>
      </c>
      <c r="Y178" s="416" t="s">
        <v>663</v>
      </c>
      <c r="Z178" s="416" t="s">
        <v>664</v>
      </c>
      <c r="AA178" s="416" t="s">
        <v>665</v>
      </c>
      <c r="AB178" s="416" t="s">
        <v>666</v>
      </c>
      <c r="AC178" s="416" t="s">
        <v>666</v>
      </c>
      <c r="AG178" s="53"/>
      <c r="AH178" s="54"/>
    </row>
    <row r="179" spans="1:34">
      <c r="A179" s="415">
        <v>3</v>
      </c>
      <c r="B179" s="415" t="s">
        <v>570</v>
      </c>
      <c r="C179" s="415">
        <v>62</v>
      </c>
      <c r="D179" s="415" t="s">
        <v>579</v>
      </c>
      <c r="E179" s="415">
        <v>10</v>
      </c>
      <c r="F179" s="415" t="s">
        <v>572</v>
      </c>
      <c r="G179" s="415">
        <v>15</v>
      </c>
      <c r="H179" s="415" t="s">
        <v>471</v>
      </c>
      <c r="I179" s="415" t="s">
        <v>560</v>
      </c>
      <c r="J179" s="415" t="s">
        <v>561</v>
      </c>
      <c r="K179" s="415">
        <v>17012411</v>
      </c>
      <c r="L179" s="41">
        <f>VLOOKUP(K179,WebPosting!$B$6:$B$561,1,FALSE)</f>
        <v>17012411</v>
      </c>
      <c r="M179" s="46">
        <f>(($V179*1000)*(IFERROR($T179-WebPosting!$K$1,"0")))</f>
        <v>300000000</v>
      </c>
      <c r="N179" s="43">
        <f t="shared" si="2"/>
        <v>237250</v>
      </c>
      <c r="O179" s="416" t="s">
        <v>672</v>
      </c>
      <c r="P179" s="416" t="s">
        <v>816</v>
      </c>
      <c r="Q179" s="416" t="s">
        <v>817</v>
      </c>
      <c r="R179" s="417">
        <v>42759</v>
      </c>
      <c r="S179" s="417">
        <v>42831</v>
      </c>
      <c r="T179" s="417">
        <v>42831</v>
      </c>
      <c r="U179" s="416">
        <v>0.47449999999999998</v>
      </c>
      <c r="V179" s="418">
        <v>50000</v>
      </c>
      <c r="W179" s="419">
        <v>49952550</v>
      </c>
      <c r="X179" s="416" t="s">
        <v>666</v>
      </c>
      <c r="Y179" s="416" t="s">
        <v>677</v>
      </c>
      <c r="Z179" s="416" t="s">
        <v>818</v>
      </c>
      <c r="AA179" s="416" t="s">
        <v>665</v>
      </c>
      <c r="AB179" s="416" t="s">
        <v>666</v>
      </c>
      <c r="AC179" s="416" t="s">
        <v>666</v>
      </c>
      <c r="AG179" s="53"/>
      <c r="AH179" s="54"/>
    </row>
    <row r="180" spans="1:34">
      <c r="A180" s="415">
        <v>3</v>
      </c>
      <c r="B180" s="415" t="s">
        <v>570</v>
      </c>
      <c r="C180" s="415">
        <v>62</v>
      </c>
      <c r="D180" s="415" t="s">
        <v>579</v>
      </c>
      <c r="E180" s="415">
        <v>10</v>
      </c>
      <c r="F180" s="415" t="s">
        <v>572</v>
      </c>
      <c r="G180" s="415">
        <v>15</v>
      </c>
      <c r="H180" s="415" t="s">
        <v>471</v>
      </c>
      <c r="I180" s="415" t="s">
        <v>560</v>
      </c>
      <c r="J180" s="415" t="s">
        <v>561</v>
      </c>
      <c r="K180" s="415">
        <v>17012414</v>
      </c>
      <c r="L180" s="41">
        <f>VLOOKUP(K180,WebPosting!$B$6:$B$561,1,FALSE)</f>
        <v>17012414</v>
      </c>
      <c r="M180" s="46">
        <f>(($V180*1000)*(IFERROR($T180-WebPosting!$K$1,"0")))</f>
        <v>600000000</v>
      </c>
      <c r="N180" s="43">
        <f t="shared" si="2"/>
        <v>466000</v>
      </c>
      <c r="O180" s="416" t="s">
        <v>672</v>
      </c>
      <c r="P180" s="416" t="s">
        <v>740</v>
      </c>
      <c r="Q180" s="416" t="s">
        <v>563</v>
      </c>
      <c r="R180" s="417">
        <v>42759</v>
      </c>
      <c r="S180" s="417">
        <v>42831</v>
      </c>
      <c r="T180" s="417">
        <v>42831</v>
      </c>
      <c r="U180" s="416">
        <v>0.46600000000000003</v>
      </c>
      <c r="V180" s="418">
        <v>100000</v>
      </c>
      <c r="W180" s="419">
        <v>99906800</v>
      </c>
      <c r="X180" s="416" t="s">
        <v>666</v>
      </c>
      <c r="Y180" s="416" t="s">
        <v>677</v>
      </c>
      <c r="Z180" s="416" t="s">
        <v>818</v>
      </c>
      <c r="AA180" s="416" t="s">
        <v>665</v>
      </c>
      <c r="AB180" s="416" t="s">
        <v>666</v>
      </c>
      <c r="AC180" s="416" t="s">
        <v>666</v>
      </c>
      <c r="AG180" s="53"/>
      <c r="AH180" s="54"/>
    </row>
    <row r="181" spans="1:34">
      <c r="A181" s="415">
        <v>3</v>
      </c>
      <c r="B181" s="415" t="s">
        <v>570</v>
      </c>
      <c r="C181" s="415">
        <v>62</v>
      </c>
      <c r="D181" s="415" t="s">
        <v>579</v>
      </c>
      <c r="E181" s="415">
        <v>10</v>
      </c>
      <c r="F181" s="415" t="s">
        <v>572</v>
      </c>
      <c r="G181" s="415">
        <v>15</v>
      </c>
      <c r="H181" s="415" t="s">
        <v>471</v>
      </c>
      <c r="I181" s="415" t="s">
        <v>560</v>
      </c>
      <c r="J181" s="415" t="s">
        <v>561</v>
      </c>
      <c r="K181" s="415">
        <v>17012515</v>
      </c>
      <c r="L181" s="41">
        <f>VLOOKUP(K181,WebPosting!$B$6:$B$561,1,FALSE)</f>
        <v>17012515</v>
      </c>
      <c r="M181" s="46">
        <f>(($V181*1000)*(IFERROR($T181-WebPosting!$K$1,"0")))</f>
        <v>600000000</v>
      </c>
      <c r="N181" s="43">
        <f t="shared" si="2"/>
        <v>474500</v>
      </c>
      <c r="O181" s="416" t="s">
        <v>672</v>
      </c>
      <c r="P181" s="416" t="s">
        <v>819</v>
      </c>
      <c r="Q181" s="416" t="s">
        <v>820</v>
      </c>
      <c r="R181" s="417">
        <v>42760</v>
      </c>
      <c r="S181" s="417">
        <v>42831</v>
      </c>
      <c r="T181" s="417">
        <v>42831</v>
      </c>
      <c r="U181" s="416">
        <v>0.47449999999999998</v>
      </c>
      <c r="V181" s="418">
        <v>100000</v>
      </c>
      <c r="W181" s="419">
        <v>99906418.060000002</v>
      </c>
      <c r="X181" s="416" t="s">
        <v>666</v>
      </c>
      <c r="Y181" s="416" t="s">
        <v>677</v>
      </c>
      <c r="Z181" s="416" t="s">
        <v>818</v>
      </c>
      <c r="AA181" s="416" t="s">
        <v>665</v>
      </c>
      <c r="AB181" s="416" t="s">
        <v>666</v>
      </c>
      <c r="AC181" s="416" t="s">
        <v>666</v>
      </c>
      <c r="AG181" s="53"/>
      <c r="AH181" s="54"/>
    </row>
    <row r="182" spans="1:34">
      <c r="A182" s="415">
        <v>3</v>
      </c>
      <c r="B182" s="415" t="s">
        <v>570</v>
      </c>
      <c r="C182" s="415">
        <v>62</v>
      </c>
      <c r="D182" s="415" t="s">
        <v>579</v>
      </c>
      <c r="E182" s="415">
        <v>10</v>
      </c>
      <c r="F182" s="415" t="s">
        <v>572</v>
      </c>
      <c r="G182" s="415">
        <v>15</v>
      </c>
      <c r="H182" s="415" t="s">
        <v>471</v>
      </c>
      <c r="I182" s="415" t="s">
        <v>560</v>
      </c>
      <c r="J182" s="415" t="s">
        <v>561</v>
      </c>
      <c r="K182" s="415">
        <v>17012606</v>
      </c>
      <c r="L182" s="41">
        <f>VLOOKUP(K182,WebPosting!$B$6:$B$561,1,FALSE)</f>
        <v>17012606</v>
      </c>
      <c r="M182" s="46">
        <f>(($V182*1000)*(IFERROR($T182-WebPosting!$K$1,"0")))</f>
        <v>600000000</v>
      </c>
      <c r="N182" s="43">
        <f t="shared" si="2"/>
        <v>465500</v>
      </c>
      <c r="O182" s="416" t="s">
        <v>672</v>
      </c>
      <c r="P182" s="416" t="s">
        <v>821</v>
      </c>
      <c r="Q182" s="416" t="s">
        <v>822</v>
      </c>
      <c r="R182" s="417">
        <v>42761</v>
      </c>
      <c r="S182" s="417">
        <v>42831</v>
      </c>
      <c r="T182" s="417">
        <v>42831</v>
      </c>
      <c r="U182" s="416">
        <v>0.46550000000000002</v>
      </c>
      <c r="V182" s="418">
        <v>100000</v>
      </c>
      <c r="W182" s="419">
        <v>99909486.109999999</v>
      </c>
      <c r="X182" s="416" t="s">
        <v>666</v>
      </c>
      <c r="Y182" s="416" t="s">
        <v>677</v>
      </c>
      <c r="Z182" s="416" t="s">
        <v>818</v>
      </c>
      <c r="AA182" s="416" t="s">
        <v>665</v>
      </c>
      <c r="AB182" s="416" t="s">
        <v>666</v>
      </c>
      <c r="AC182" s="416" t="s">
        <v>666</v>
      </c>
      <c r="AG182" s="53"/>
      <c r="AH182" s="54"/>
    </row>
    <row r="183" spans="1:34">
      <c r="A183" s="415">
        <v>3</v>
      </c>
      <c r="B183" s="415" t="s">
        <v>570</v>
      </c>
      <c r="C183" s="415">
        <v>62</v>
      </c>
      <c r="D183" s="415" t="s">
        <v>579</v>
      </c>
      <c r="E183" s="415">
        <v>10</v>
      </c>
      <c r="F183" s="415" t="s">
        <v>572</v>
      </c>
      <c r="G183" s="415">
        <v>15</v>
      </c>
      <c r="H183" s="415" t="s">
        <v>471</v>
      </c>
      <c r="I183" s="415" t="s">
        <v>560</v>
      </c>
      <c r="J183" s="415" t="s">
        <v>561</v>
      </c>
      <c r="K183" s="415">
        <v>17011109</v>
      </c>
      <c r="L183" s="41">
        <f>VLOOKUP(K183,WebPosting!$B$6:$B$561,1,FALSE)</f>
        <v>17011109</v>
      </c>
      <c r="M183" s="46">
        <f>(($V183*1000)*(IFERROR($T183-WebPosting!$K$1,"0")))</f>
        <v>1350000000</v>
      </c>
      <c r="N183" s="43">
        <f t="shared" si="2"/>
        <v>249750.00000000003</v>
      </c>
      <c r="O183" s="416" t="s">
        <v>672</v>
      </c>
      <c r="P183" s="416" t="s">
        <v>688</v>
      </c>
      <c r="Q183" s="416" t="s">
        <v>689</v>
      </c>
      <c r="R183" s="417">
        <v>42746</v>
      </c>
      <c r="S183" s="417">
        <v>42852</v>
      </c>
      <c r="T183" s="417">
        <v>42852</v>
      </c>
      <c r="U183" s="416">
        <v>0.4995</v>
      </c>
      <c r="V183" s="418">
        <v>50000</v>
      </c>
      <c r="W183" s="419">
        <v>49926462.5</v>
      </c>
      <c r="X183" s="416" t="s">
        <v>666</v>
      </c>
      <c r="Y183" s="416" t="s">
        <v>677</v>
      </c>
      <c r="Z183" s="416" t="s">
        <v>823</v>
      </c>
      <c r="AA183" s="416" t="s">
        <v>665</v>
      </c>
      <c r="AB183" s="416" t="s">
        <v>666</v>
      </c>
      <c r="AC183" s="416" t="s">
        <v>666</v>
      </c>
      <c r="AG183" s="53"/>
      <c r="AH183" s="54"/>
    </row>
    <row r="184" spans="1:34">
      <c r="A184" s="415">
        <v>3</v>
      </c>
      <c r="B184" s="415" t="s">
        <v>570</v>
      </c>
      <c r="C184" s="415">
        <v>62</v>
      </c>
      <c r="D184" s="415" t="s">
        <v>579</v>
      </c>
      <c r="E184" s="415">
        <v>10</v>
      </c>
      <c r="F184" s="415" t="s">
        <v>572</v>
      </c>
      <c r="G184" s="415">
        <v>15</v>
      </c>
      <c r="H184" s="415" t="s">
        <v>471</v>
      </c>
      <c r="I184" s="415" t="s">
        <v>560</v>
      </c>
      <c r="J184" s="415" t="s">
        <v>561</v>
      </c>
      <c r="K184" s="415">
        <v>17012608</v>
      </c>
      <c r="L184" s="41">
        <f>VLOOKUP(K184,WebPosting!$B$6:$B$561,1,FALSE)</f>
        <v>17012608</v>
      </c>
      <c r="M184" s="46">
        <f>(($V184*1000)*(IFERROR($T184-WebPosting!$K$1,"0")))</f>
        <v>3400000000</v>
      </c>
      <c r="N184" s="43">
        <f t="shared" si="2"/>
        <v>490000</v>
      </c>
      <c r="O184" s="416" t="s">
        <v>672</v>
      </c>
      <c r="P184" s="416" t="s">
        <v>667</v>
      </c>
      <c r="Q184" s="416" t="s">
        <v>668</v>
      </c>
      <c r="R184" s="417">
        <v>42761</v>
      </c>
      <c r="S184" s="417">
        <v>42859</v>
      </c>
      <c r="T184" s="417">
        <v>42859</v>
      </c>
      <c r="U184" s="416">
        <v>0.49</v>
      </c>
      <c r="V184" s="418">
        <v>100000</v>
      </c>
      <c r="W184" s="419">
        <v>99866611.109999999</v>
      </c>
      <c r="X184" s="416" t="s">
        <v>666</v>
      </c>
      <c r="Y184" s="416" t="s">
        <v>677</v>
      </c>
      <c r="Z184" s="416" t="s">
        <v>824</v>
      </c>
      <c r="AA184" s="416" t="s">
        <v>665</v>
      </c>
      <c r="AB184" s="416" t="s">
        <v>666</v>
      </c>
      <c r="AC184" s="416" t="s">
        <v>666</v>
      </c>
      <c r="AG184" s="53"/>
      <c r="AH184" s="54"/>
    </row>
    <row r="185" spans="1:34">
      <c r="A185" s="415">
        <v>3</v>
      </c>
      <c r="B185" s="415" t="s">
        <v>570</v>
      </c>
      <c r="C185" s="415">
        <v>62</v>
      </c>
      <c r="D185" s="415" t="s">
        <v>579</v>
      </c>
      <c r="E185" s="415">
        <v>10</v>
      </c>
      <c r="F185" s="415" t="s">
        <v>572</v>
      </c>
      <c r="G185" s="415">
        <v>15</v>
      </c>
      <c r="H185" s="415" t="s">
        <v>471</v>
      </c>
      <c r="I185" s="415" t="s">
        <v>560</v>
      </c>
      <c r="J185" s="415" t="s">
        <v>561</v>
      </c>
      <c r="K185" s="415">
        <v>16120212</v>
      </c>
      <c r="L185" s="41">
        <f>VLOOKUP(K185,WebPosting!$B$6:$B$561,1,FALSE)</f>
        <v>16120212</v>
      </c>
      <c r="M185" s="46">
        <f>(($V185*1000)*(IFERROR($T185-WebPosting!$K$1,"0")))</f>
        <v>3100000000</v>
      </c>
      <c r="N185" s="43">
        <f t="shared" si="2"/>
        <v>294750</v>
      </c>
      <c r="O185" s="416" t="s">
        <v>672</v>
      </c>
      <c r="P185" s="416" t="s">
        <v>661</v>
      </c>
      <c r="Q185" s="416" t="s">
        <v>662</v>
      </c>
      <c r="R185" s="417">
        <v>42706</v>
      </c>
      <c r="S185" s="417">
        <v>42887</v>
      </c>
      <c r="T185" s="417">
        <v>42887</v>
      </c>
      <c r="U185" s="416">
        <v>0.58950000000000002</v>
      </c>
      <c r="V185" s="418">
        <v>50000</v>
      </c>
      <c r="W185" s="419">
        <v>49851806.25</v>
      </c>
      <c r="X185" s="416" t="s">
        <v>666</v>
      </c>
      <c r="Y185" s="416" t="s">
        <v>677</v>
      </c>
      <c r="Z185" s="416" t="s">
        <v>825</v>
      </c>
      <c r="AA185" s="416" t="s">
        <v>665</v>
      </c>
      <c r="AB185" s="416" t="s">
        <v>666</v>
      </c>
      <c r="AC185" s="416" t="s">
        <v>666</v>
      </c>
      <c r="AG185" s="53"/>
      <c r="AH185" s="54"/>
    </row>
    <row r="186" spans="1:34">
      <c r="A186" s="415">
        <v>3</v>
      </c>
      <c r="B186" s="415" t="s">
        <v>570</v>
      </c>
      <c r="C186" s="415">
        <v>62</v>
      </c>
      <c r="D186" s="415" t="s">
        <v>579</v>
      </c>
      <c r="E186" s="415">
        <v>10</v>
      </c>
      <c r="F186" s="415" t="s">
        <v>572</v>
      </c>
      <c r="G186" s="415">
        <v>15</v>
      </c>
      <c r="H186" s="415" t="s">
        <v>471</v>
      </c>
      <c r="I186" s="415" t="s">
        <v>560</v>
      </c>
      <c r="J186" s="415" t="s">
        <v>561</v>
      </c>
      <c r="K186" s="415">
        <v>16120213</v>
      </c>
      <c r="L186" s="41">
        <f>VLOOKUP(K186,WebPosting!$B$6:$B$561,1,FALSE)</f>
        <v>16120213</v>
      </c>
      <c r="M186" s="46">
        <f>(($V186*1000)*(IFERROR($T186-WebPosting!$K$1,"0")))</f>
        <v>3100000000</v>
      </c>
      <c r="N186" s="43">
        <f t="shared" si="2"/>
        <v>295500</v>
      </c>
      <c r="O186" s="416" t="s">
        <v>672</v>
      </c>
      <c r="P186" s="416" t="s">
        <v>826</v>
      </c>
      <c r="Q186" s="416" t="s">
        <v>827</v>
      </c>
      <c r="R186" s="417">
        <v>42706</v>
      </c>
      <c r="S186" s="417">
        <v>42887</v>
      </c>
      <c r="T186" s="417">
        <v>42887</v>
      </c>
      <c r="U186" s="416">
        <v>0.59099999999999997</v>
      </c>
      <c r="V186" s="418">
        <v>50000</v>
      </c>
      <c r="W186" s="419">
        <v>49851429.170000002</v>
      </c>
      <c r="X186" s="416" t="s">
        <v>666</v>
      </c>
      <c r="Y186" s="416" t="s">
        <v>677</v>
      </c>
      <c r="Z186" s="416" t="s">
        <v>825</v>
      </c>
      <c r="AA186" s="416" t="s">
        <v>665</v>
      </c>
      <c r="AB186" s="416" t="s">
        <v>666</v>
      </c>
      <c r="AC186" s="416" t="s">
        <v>666</v>
      </c>
      <c r="AG186" s="53"/>
      <c r="AH186" s="54"/>
    </row>
    <row r="187" spans="1:34">
      <c r="A187" s="415">
        <v>3</v>
      </c>
      <c r="B187" s="415" t="s">
        <v>570</v>
      </c>
      <c r="C187" s="415">
        <v>62</v>
      </c>
      <c r="D187" s="415" t="s">
        <v>579</v>
      </c>
      <c r="E187" s="415">
        <v>10</v>
      </c>
      <c r="F187" s="415" t="s">
        <v>572</v>
      </c>
      <c r="G187" s="415">
        <v>15</v>
      </c>
      <c r="H187" s="415" t="s">
        <v>471</v>
      </c>
      <c r="I187" s="415" t="s">
        <v>560</v>
      </c>
      <c r="J187" s="415" t="s">
        <v>561</v>
      </c>
      <c r="K187" s="415">
        <v>16120613</v>
      </c>
      <c r="L187" s="41">
        <f>VLOOKUP(K187,WebPosting!$B$6:$B$561,1,FALSE)</f>
        <v>16120613</v>
      </c>
      <c r="M187" s="46">
        <f>(($V187*1000)*(IFERROR($T187-WebPosting!$K$1,"0")))</f>
        <v>3100000000</v>
      </c>
      <c r="N187" s="43">
        <f t="shared" si="2"/>
        <v>300250</v>
      </c>
      <c r="O187" s="416" t="s">
        <v>672</v>
      </c>
      <c r="P187" s="416" t="s">
        <v>826</v>
      </c>
      <c r="Q187" s="416" t="s">
        <v>827</v>
      </c>
      <c r="R187" s="417">
        <v>42710</v>
      </c>
      <c r="S187" s="417">
        <v>42887</v>
      </c>
      <c r="T187" s="417">
        <v>42887</v>
      </c>
      <c r="U187" s="416">
        <v>0.60050000000000003</v>
      </c>
      <c r="V187" s="418">
        <v>50000</v>
      </c>
      <c r="W187" s="419">
        <v>49852377.079999998</v>
      </c>
      <c r="X187" s="416" t="s">
        <v>666</v>
      </c>
      <c r="Y187" s="416" t="s">
        <v>677</v>
      </c>
      <c r="Z187" s="416" t="s">
        <v>825</v>
      </c>
      <c r="AA187" s="416" t="s">
        <v>665</v>
      </c>
      <c r="AB187" s="416" t="s">
        <v>666</v>
      </c>
      <c r="AC187" s="416" t="s">
        <v>666</v>
      </c>
      <c r="AG187" s="53"/>
      <c r="AH187" s="54"/>
    </row>
    <row r="188" spans="1:34">
      <c r="A188" s="415">
        <v>3</v>
      </c>
      <c r="B188" s="415" t="s">
        <v>570</v>
      </c>
      <c r="C188" s="415">
        <v>62</v>
      </c>
      <c r="D188" s="415" t="s">
        <v>579</v>
      </c>
      <c r="E188" s="415">
        <v>10</v>
      </c>
      <c r="F188" s="415" t="s">
        <v>572</v>
      </c>
      <c r="G188" s="415">
        <v>15</v>
      </c>
      <c r="H188" s="415" t="s">
        <v>471</v>
      </c>
      <c r="I188" s="415" t="s">
        <v>560</v>
      </c>
      <c r="J188" s="415" t="s">
        <v>561</v>
      </c>
      <c r="K188" s="415">
        <v>16120721</v>
      </c>
      <c r="L188" s="41">
        <f>VLOOKUP(K188,WebPosting!$B$6:$B$561,1,FALSE)</f>
        <v>16120721</v>
      </c>
      <c r="M188" s="46">
        <f>(($V188*1000)*(IFERROR($T188-WebPosting!$K$1,"0")))</f>
        <v>3100000000</v>
      </c>
      <c r="N188" s="43">
        <f t="shared" si="2"/>
        <v>294750</v>
      </c>
      <c r="O188" s="416" t="s">
        <v>672</v>
      </c>
      <c r="P188" s="416" t="s">
        <v>816</v>
      </c>
      <c r="Q188" s="416" t="s">
        <v>817</v>
      </c>
      <c r="R188" s="417">
        <v>42711</v>
      </c>
      <c r="S188" s="417">
        <v>42887</v>
      </c>
      <c r="T188" s="417">
        <v>42887</v>
      </c>
      <c r="U188" s="416">
        <v>0.58950000000000002</v>
      </c>
      <c r="V188" s="418">
        <v>50000</v>
      </c>
      <c r="W188" s="419">
        <v>49855900</v>
      </c>
      <c r="X188" s="416" t="s">
        <v>666</v>
      </c>
      <c r="Y188" s="416" t="s">
        <v>677</v>
      </c>
      <c r="Z188" s="416" t="s">
        <v>825</v>
      </c>
      <c r="AA188" s="416" t="s">
        <v>665</v>
      </c>
      <c r="AB188" s="416" t="s">
        <v>666</v>
      </c>
      <c r="AC188" s="416" t="s">
        <v>666</v>
      </c>
      <c r="AG188" s="53"/>
      <c r="AH188" s="54"/>
    </row>
    <row r="189" spans="1:34">
      <c r="A189" s="415">
        <v>3</v>
      </c>
      <c r="B189" s="415" t="s">
        <v>570</v>
      </c>
      <c r="C189" s="415">
        <v>62</v>
      </c>
      <c r="D189" s="415" t="s">
        <v>579</v>
      </c>
      <c r="E189" s="415">
        <v>10</v>
      </c>
      <c r="F189" s="415" t="s">
        <v>572</v>
      </c>
      <c r="G189" s="415">
        <v>15</v>
      </c>
      <c r="H189" s="415" t="s">
        <v>471</v>
      </c>
      <c r="I189" s="415" t="s">
        <v>560</v>
      </c>
      <c r="J189" s="415" t="s">
        <v>561</v>
      </c>
      <c r="K189" s="415">
        <v>16121210</v>
      </c>
      <c r="L189" s="41">
        <f>VLOOKUP(K189,WebPosting!$B$6:$B$561,1,FALSE)</f>
        <v>16121210</v>
      </c>
      <c r="M189" s="46">
        <f>(($V189*1000)*(IFERROR($T189-WebPosting!$K$1,"0")))</f>
        <v>3100000000</v>
      </c>
      <c r="N189" s="43">
        <f t="shared" si="2"/>
        <v>294750</v>
      </c>
      <c r="O189" s="416" t="s">
        <v>672</v>
      </c>
      <c r="P189" s="416" t="s">
        <v>828</v>
      </c>
      <c r="Q189" s="416" t="s">
        <v>829</v>
      </c>
      <c r="R189" s="417">
        <v>42716</v>
      </c>
      <c r="S189" s="417">
        <v>42887</v>
      </c>
      <c r="T189" s="417">
        <v>42887</v>
      </c>
      <c r="U189" s="416">
        <v>0.58950000000000002</v>
      </c>
      <c r="V189" s="418">
        <v>50000</v>
      </c>
      <c r="W189" s="419">
        <v>49859993.75</v>
      </c>
      <c r="X189" s="416" t="s">
        <v>666</v>
      </c>
      <c r="Y189" s="416" t="s">
        <v>677</v>
      </c>
      <c r="Z189" s="416" t="s">
        <v>825</v>
      </c>
      <c r="AA189" s="416" t="s">
        <v>665</v>
      </c>
      <c r="AB189" s="416" t="s">
        <v>666</v>
      </c>
      <c r="AC189" s="416" t="s">
        <v>666</v>
      </c>
      <c r="AG189" s="53"/>
      <c r="AH189" s="54"/>
    </row>
    <row r="190" spans="1:34">
      <c r="A190" s="415">
        <v>3</v>
      </c>
      <c r="B190" s="415" t="s">
        <v>570</v>
      </c>
      <c r="C190" s="415">
        <v>62</v>
      </c>
      <c r="D190" s="415" t="s">
        <v>579</v>
      </c>
      <c r="E190" s="415">
        <v>10</v>
      </c>
      <c r="F190" s="415" t="s">
        <v>572</v>
      </c>
      <c r="G190" s="415">
        <v>15</v>
      </c>
      <c r="H190" s="415" t="s">
        <v>471</v>
      </c>
      <c r="I190" s="415" t="s">
        <v>560</v>
      </c>
      <c r="J190" s="415" t="s">
        <v>561</v>
      </c>
      <c r="K190" s="415">
        <v>16121309</v>
      </c>
      <c r="L190" s="41">
        <f>VLOOKUP(K190,WebPosting!$B$6:$B$561,1,FALSE)</f>
        <v>16121309</v>
      </c>
      <c r="M190" s="46">
        <f>(($V190*1000)*(IFERROR($T190-WebPosting!$K$1,"0")))</f>
        <v>3100000000</v>
      </c>
      <c r="N190" s="43">
        <f t="shared" si="2"/>
        <v>300250</v>
      </c>
      <c r="O190" s="416" t="s">
        <v>672</v>
      </c>
      <c r="P190" s="416" t="s">
        <v>740</v>
      </c>
      <c r="Q190" s="416" t="s">
        <v>563</v>
      </c>
      <c r="R190" s="417">
        <v>42717</v>
      </c>
      <c r="S190" s="417">
        <v>42887</v>
      </c>
      <c r="T190" s="417">
        <v>42887</v>
      </c>
      <c r="U190" s="416">
        <v>0.60050000000000003</v>
      </c>
      <c r="V190" s="418">
        <v>50000</v>
      </c>
      <c r="W190" s="419">
        <v>49858215.280000001</v>
      </c>
      <c r="X190" s="416" t="s">
        <v>666</v>
      </c>
      <c r="Y190" s="416" t="s">
        <v>677</v>
      </c>
      <c r="Z190" s="416" t="s">
        <v>825</v>
      </c>
      <c r="AA190" s="416" t="s">
        <v>665</v>
      </c>
      <c r="AB190" s="416" t="s">
        <v>666</v>
      </c>
      <c r="AC190" s="416" t="s">
        <v>666</v>
      </c>
      <c r="AG190" s="53"/>
      <c r="AH190" s="54"/>
    </row>
    <row r="191" spans="1:34">
      <c r="A191" s="415">
        <v>3</v>
      </c>
      <c r="B191" s="415" t="s">
        <v>570</v>
      </c>
      <c r="C191" s="415">
        <v>62</v>
      </c>
      <c r="D191" s="415" t="s">
        <v>579</v>
      </c>
      <c r="E191" s="415">
        <v>10</v>
      </c>
      <c r="F191" s="415" t="s">
        <v>572</v>
      </c>
      <c r="G191" s="415">
        <v>15</v>
      </c>
      <c r="H191" s="415" t="s">
        <v>471</v>
      </c>
      <c r="I191" s="415" t="s">
        <v>560</v>
      </c>
      <c r="J191" s="415" t="s">
        <v>561</v>
      </c>
      <c r="K191" s="415">
        <v>16121601</v>
      </c>
      <c r="L191" s="41">
        <f>VLOOKUP(K191,WebPosting!$B$6:$B$561,1,FALSE)</f>
        <v>16121601</v>
      </c>
      <c r="M191" s="46">
        <f>(($V191*1000)*(IFERROR($T191-WebPosting!$K$1,"0")))</f>
        <v>3100000000</v>
      </c>
      <c r="N191" s="43">
        <f t="shared" si="2"/>
        <v>305250</v>
      </c>
      <c r="O191" s="416" t="s">
        <v>672</v>
      </c>
      <c r="P191" s="416" t="s">
        <v>821</v>
      </c>
      <c r="Q191" s="416" t="s">
        <v>822</v>
      </c>
      <c r="R191" s="417">
        <v>42720</v>
      </c>
      <c r="S191" s="417">
        <v>42887</v>
      </c>
      <c r="T191" s="417">
        <v>42887</v>
      </c>
      <c r="U191" s="416">
        <v>0.61050000000000004</v>
      </c>
      <c r="V191" s="418">
        <v>50000</v>
      </c>
      <c r="W191" s="419">
        <v>49858397.920000002</v>
      </c>
      <c r="X191" s="416" t="s">
        <v>666</v>
      </c>
      <c r="Y191" s="416" t="s">
        <v>677</v>
      </c>
      <c r="Z191" s="416" t="s">
        <v>825</v>
      </c>
      <c r="AA191" s="416" t="s">
        <v>665</v>
      </c>
      <c r="AB191" s="416" t="s">
        <v>666</v>
      </c>
      <c r="AC191" s="416" t="s">
        <v>666</v>
      </c>
      <c r="AG191" s="53"/>
      <c r="AH191" s="54"/>
    </row>
    <row r="192" spans="1:34">
      <c r="A192" s="415">
        <v>3</v>
      </c>
      <c r="B192" s="415" t="s">
        <v>570</v>
      </c>
      <c r="C192" s="415">
        <v>62</v>
      </c>
      <c r="D192" s="415" t="s">
        <v>579</v>
      </c>
      <c r="E192" s="415">
        <v>10</v>
      </c>
      <c r="F192" s="415" t="s">
        <v>572</v>
      </c>
      <c r="G192" s="415">
        <v>15</v>
      </c>
      <c r="H192" s="415" t="s">
        <v>471</v>
      </c>
      <c r="I192" s="415" t="s">
        <v>560</v>
      </c>
      <c r="J192" s="415" t="s">
        <v>561</v>
      </c>
      <c r="K192" s="415">
        <v>16121901</v>
      </c>
      <c r="L192" s="41">
        <f>VLOOKUP(K192,WebPosting!$B$6:$B$561,1,FALSE)</f>
        <v>16121901</v>
      </c>
      <c r="M192" s="46">
        <f>(($V192*1000)*(IFERROR($T192-WebPosting!$K$1,"0")))</f>
        <v>3100000000</v>
      </c>
      <c r="N192" s="43">
        <f t="shared" si="2"/>
        <v>309750.00000000006</v>
      </c>
      <c r="O192" s="416" t="s">
        <v>672</v>
      </c>
      <c r="P192" s="416" t="s">
        <v>673</v>
      </c>
      <c r="Q192" s="416" t="s">
        <v>674</v>
      </c>
      <c r="R192" s="417">
        <v>42723</v>
      </c>
      <c r="S192" s="417">
        <v>42887</v>
      </c>
      <c r="T192" s="417">
        <v>42887</v>
      </c>
      <c r="U192" s="416">
        <v>0.61950000000000005</v>
      </c>
      <c r="V192" s="418">
        <v>50000</v>
      </c>
      <c r="W192" s="419">
        <v>49858891.670000002</v>
      </c>
      <c r="X192" s="416" t="s">
        <v>666</v>
      </c>
      <c r="Y192" s="416" t="s">
        <v>677</v>
      </c>
      <c r="Z192" s="416" t="s">
        <v>825</v>
      </c>
      <c r="AA192" s="416" t="s">
        <v>665</v>
      </c>
      <c r="AB192" s="416" t="s">
        <v>666</v>
      </c>
      <c r="AC192" s="416" t="s">
        <v>666</v>
      </c>
      <c r="AG192" s="53"/>
      <c r="AH192" s="54"/>
    </row>
    <row r="193" spans="1:34">
      <c r="A193" s="415">
        <v>3</v>
      </c>
      <c r="B193" s="415" t="s">
        <v>570</v>
      </c>
      <c r="C193" s="415">
        <v>62</v>
      </c>
      <c r="D193" s="415" t="s">
        <v>579</v>
      </c>
      <c r="E193" s="415">
        <v>10</v>
      </c>
      <c r="F193" s="415" t="s">
        <v>572</v>
      </c>
      <c r="G193" s="415">
        <v>15</v>
      </c>
      <c r="H193" s="415" t="s">
        <v>471</v>
      </c>
      <c r="I193" s="415" t="s">
        <v>560</v>
      </c>
      <c r="J193" s="415" t="s">
        <v>561</v>
      </c>
      <c r="K193" s="415">
        <v>17021614</v>
      </c>
      <c r="L193" s="41">
        <f>VLOOKUP(K193,WebPosting!$B$6:$B$561,1,FALSE)</f>
        <v>17021614</v>
      </c>
      <c r="M193" s="46">
        <f>(($V193*1000)*(IFERROR($T193-WebPosting!$K$1,"0")))</f>
        <v>15350000000</v>
      </c>
      <c r="N193" s="43">
        <f t="shared" si="2"/>
        <v>392500.00000000006</v>
      </c>
      <c r="O193" s="416" t="s">
        <v>672</v>
      </c>
      <c r="P193" s="416" t="s">
        <v>667</v>
      </c>
      <c r="Q193" s="416" t="s">
        <v>668</v>
      </c>
      <c r="R193" s="417">
        <v>42782</v>
      </c>
      <c r="S193" s="417">
        <v>43132</v>
      </c>
      <c r="T193" s="417">
        <v>43132</v>
      </c>
      <c r="U193" s="416">
        <v>0.78500000000000003</v>
      </c>
      <c r="V193" s="418">
        <v>50000</v>
      </c>
      <c r="W193" s="419">
        <v>49618402.780000001</v>
      </c>
      <c r="X193" s="416" t="s">
        <v>666</v>
      </c>
      <c r="Y193" s="416" t="s">
        <v>677</v>
      </c>
      <c r="Z193" s="416" t="s">
        <v>830</v>
      </c>
      <c r="AA193" s="416" t="s">
        <v>665</v>
      </c>
      <c r="AB193" s="416" t="s">
        <v>666</v>
      </c>
      <c r="AC193" s="416" t="s">
        <v>666</v>
      </c>
      <c r="AG193" s="53"/>
      <c r="AH193" s="54"/>
    </row>
    <row r="194" spans="1:34">
      <c r="A194" s="415">
        <v>3</v>
      </c>
      <c r="B194" s="415" t="s">
        <v>570</v>
      </c>
      <c r="C194" s="415">
        <v>62</v>
      </c>
      <c r="D194" s="415" t="s">
        <v>579</v>
      </c>
      <c r="E194" s="415">
        <v>10</v>
      </c>
      <c r="F194" s="415" t="s">
        <v>572</v>
      </c>
      <c r="G194" s="415">
        <v>15</v>
      </c>
      <c r="H194" s="415" t="s">
        <v>471</v>
      </c>
      <c r="I194" s="415" t="s">
        <v>560</v>
      </c>
      <c r="J194" s="415" t="s">
        <v>561</v>
      </c>
      <c r="K194" s="415">
        <v>17022101</v>
      </c>
      <c r="L194" s="41">
        <f>VLOOKUP(K194,WebPosting!$B$6:$B$561,1,FALSE)</f>
        <v>17022101</v>
      </c>
      <c r="M194" s="46">
        <f>(($V194*1000)*(IFERROR($T194-WebPosting!$K$1,"0")))</f>
        <v>15350000000</v>
      </c>
      <c r="N194" s="43">
        <f t="shared" si="2"/>
        <v>390250</v>
      </c>
      <c r="O194" s="416" t="s">
        <v>672</v>
      </c>
      <c r="P194" s="416" t="s">
        <v>667</v>
      </c>
      <c r="Q194" s="416" t="s">
        <v>668</v>
      </c>
      <c r="R194" s="417">
        <v>42787</v>
      </c>
      <c r="S194" s="417">
        <v>43132</v>
      </c>
      <c r="T194" s="417">
        <v>43132</v>
      </c>
      <c r="U194" s="416">
        <v>0.78049999999999997</v>
      </c>
      <c r="V194" s="418">
        <v>50000</v>
      </c>
      <c r="W194" s="419">
        <v>49626010.420000002</v>
      </c>
      <c r="X194" s="416" t="s">
        <v>666</v>
      </c>
      <c r="Y194" s="416" t="s">
        <v>677</v>
      </c>
      <c r="Z194" s="416" t="s">
        <v>830</v>
      </c>
      <c r="AA194" s="416" t="s">
        <v>665</v>
      </c>
      <c r="AB194" s="416" t="s">
        <v>666</v>
      </c>
      <c r="AC194" s="416" t="s">
        <v>666</v>
      </c>
      <c r="AG194" s="53"/>
      <c r="AH194" s="54"/>
    </row>
    <row r="195" spans="1:34">
      <c r="A195" s="415">
        <v>3</v>
      </c>
      <c r="B195" s="415" t="s">
        <v>570</v>
      </c>
      <c r="C195" s="415">
        <v>62</v>
      </c>
      <c r="D195" s="415" t="s">
        <v>579</v>
      </c>
      <c r="E195" s="415">
        <v>10</v>
      </c>
      <c r="F195" s="415" t="s">
        <v>572</v>
      </c>
      <c r="G195" s="415">
        <v>15</v>
      </c>
      <c r="H195" s="415" t="s">
        <v>471</v>
      </c>
      <c r="I195" s="415" t="s">
        <v>560</v>
      </c>
      <c r="J195" s="415" t="s">
        <v>561</v>
      </c>
      <c r="K195" s="415">
        <v>17022203</v>
      </c>
      <c r="L195" s="41">
        <f>VLOOKUP(K195,WebPosting!$B$6:$B$561,1,FALSE)</f>
        <v>17022203</v>
      </c>
      <c r="M195" s="46">
        <f>(($V195*1000)*(IFERROR($T195-WebPosting!$K$1,"0")))</f>
        <v>15350000000</v>
      </c>
      <c r="N195" s="43">
        <f t="shared" ref="N195:N258" si="3">($U195%*($V195*1000))</f>
        <v>393500</v>
      </c>
      <c r="O195" s="416" t="s">
        <v>672</v>
      </c>
      <c r="P195" s="416" t="s">
        <v>819</v>
      </c>
      <c r="Q195" s="416" t="s">
        <v>820</v>
      </c>
      <c r="R195" s="417">
        <v>42788</v>
      </c>
      <c r="S195" s="417">
        <v>43132</v>
      </c>
      <c r="T195" s="417">
        <v>43132</v>
      </c>
      <c r="U195" s="416">
        <v>0.78700000000000003</v>
      </c>
      <c r="V195" s="418">
        <v>50000</v>
      </c>
      <c r="W195" s="419">
        <v>49623988.890000001</v>
      </c>
      <c r="X195" s="416" t="s">
        <v>666</v>
      </c>
      <c r="Y195" s="416" t="s">
        <v>677</v>
      </c>
      <c r="Z195" s="416" t="s">
        <v>830</v>
      </c>
      <c r="AA195" s="416" t="s">
        <v>665</v>
      </c>
      <c r="AB195" s="416" t="s">
        <v>666</v>
      </c>
      <c r="AC195" s="416" t="s">
        <v>666</v>
      </c>
      <c r="AG195" s="53"/>
      <c r="AH195" s="54"/>
    </row>
    <row r="196" spans="1:34">
      <c r="A196" s="415">
        <v>3</v>
      </c>
      <c r="B196" s="415" t="s">
        <v>570</v>
      </c>
      <c r="C196" s="415">
        <v>62</v>
      </c>
      <c r="D196" s="415" t="s">
        <v>579</v>
      </c>
      <c r="E196" s="415">
        <v>10</v>
      </c>
      <c r="F196" s="415" t="s">
        <v>572</v>
      </c>
      <c r="G196" s="415">
        <v>15</v>
      </c>
      <c r="H196" s="415" t="s">
        <v>471</v>
      </c>
      <c r="I196" s="415" t="s">
        <v>560</v>
      </c>
      <c r="J196" s="415" t="s">
        <v>561</v>
      </c>
      <c r="K196" s="415">
        <v>17022403</v>
      </c>
      <c r="L196" s="41">
        <f>VLOOKUP(K196,WebPosting!$B$6:$B$561,1,FALSE)</f>
        <v>17022403</v>
      </c>
      <c r="M196" s="46">
        <f>(($V196*1000)*(IFERROR($T196-WebPosting!$K$1,"0")))</f>
        <v>15350000000</v>
      </c>
      <c r="N196" s="43">
        <f t="shared" si="3"/>
        <v>384750</v>
      </c>
      <c r="O196" s="416" t="s">
        <v>672</v>
      </c>
      <c r="P196" s="416" t="s">
        <v>661</v>
      </c>
      <c r="Q196" s="416" t="s">
        <v>662</v>
      </c>
      <c r="R196" s="417">
        <v>42790</v>
      </c>
      <c r="S196" s="417">
        <v>43132</v>
      </c>
      <c r="T196" s="417">
        <v>43132</v>
      </c>
      <c r="U196" s="416">
        <v>0.76949999999999996</v>
      </c>
      <c r="V196" s="418">
        <v>50000</v>
      </c>
      <c r="W196" s="419">
        <v>49634487.5</v>
      </c>
      <c r="X196" s="416" t="s">
        <v>666</v>
      </c>
      <c r="Y196" s="416" t="s">
        <v>677</v>
      </c>
      <c r="Z196" s="416" t="s">
        <v>830</v>
      </c>
      <c r="AA196" s="416" t="s">
        <v>665</v>
      </c>
      <c r="AB196" s="416" t="s">
        <v>666</v>
      </c>
      <c r="AC196" s="416" t="s">
        <v>666</v>
      </c>
      <c r="AG196" s="53"/>
      <c r="AH196" s="54"/>
    </row>
    <row r="197" spans="1:34">
      <c r="A197" s="415">
        <v>3</v>
      </c>
      <c r="B197" s="415" t="s">
        <v>570</v>
      </c>
      <c r="C197" s="415">
        <v>62</v>
      </c>
      <c r="D197" s="415" t="s">
        <v>579</v>
      </c>
      <c r="E197" s="415">
        <v>10</v>
      </c>
      <c r="F197" s="415" t="s">
        <v>572</v>
      </c>
      <c r="G197" s="415">
        <v>15</v>
      </c>
      <c r="H197" s="415" t="s">
        <v>471</v>
      </c>
      <c r="I197" s="415" t="s">
        <v>560</v>
      </c>
      <c r="J197" s="415" t="s">
        <v>561</v>
      </c>
      <c r="K197" s="415">
        <v>17022711</v>
      </c>
      <c r="L197" s="41">
        <f>VLOOKUP(K197,WebPosting!$B$6:$B$561,1,FALSE)</f>
        <v>17022711</v>
      </c>
      <c r="M197" s="46">
        <f>(($V197*1000)*(IFERROR($T197-WebPosting!$K$1,"0")))</f>
        <v>15350000000</v>
      </c>
      <c r="N197" s="43">
        <f t="shared" si="3"/>
        <v>382250</v>
      </c>
      <c r="O197" s="416" t="s">
        <v>672</v>
      </c>
      <c r="P197" s="416" t="s">
        <v>673</v>
      </c>
      <c r="Q197" s="416" t="s">
        <v>674</v>
      </c>
      <c r="R197" s="417">
        <v>42793</v>
      </c>
      <c r="S197" s="417">
        <v>43132</v>
      </c>
      <c r="T197" s="417">
        <v>43132</v>
      </c>
      <c r="U197" s="416">
        <v>0.76449999999999996</v>
      </c>
      <c r="V197" s="418">
        <v>50000</v>
      </c>
      <c r="W197" s="419">
        <v>49640047.920000002</v>
      </c>
      <c r="X197" s="416" t="s">
        <v>666</v>
      </c>
      <c r="Y197" s="416" t="s">
        <v>677</v>
      </c>
      <c r="Z197" s="416" t="s">
        <v>830</v>
      </c>
      <c r="AA197" s="416" t="s">
        <v>665</v>
      </c>
      <c r="AB197" s="416" t="s">
        <v>666</v>
      </c>
      <c r="AC197" s="416" t="s">
        <v>666</v>
      </c>
      <c r="AG197" s="53"/>
      <c r="AH197" s="54"/>
    </row>
    <row r="198" spans="1:34">
      <c r="A198" s="415">
        <v>3</v>
      </c>
      <c r="B198" s="415" t="s">
        <v>570</v>
      </c>
      <c r="C198" s="415">
        <v>62</v>
      </c>
      <c r="D198" s="415" t="s">
        <v>579</v>
      </c>
      <c r="E198" s="415">
        <v>10</v>
      </c>
      <c r="F198" s="415" t="s">
        <v>572</v>
      </c>
      <c r="G198" s="415">
        <v>15</v>
      </c>
      <c r="H198" s="415" t="s">
        <v>471</v>
      </c>
      <c r="I198" s="415" t="s">
        <v>560</v>
      </c>
      <c r="J198" s="415" t="s">
        <v>561</v>
      </c>
      <c r="K198" s="415">
        <v>17022816</v>
      </c>
      <c r="L198" s="41">
        <f>VLOOKUP(K198,WebPosting!$B$6:$B$561,1,FALSE)</f>
        <v>17022816</v>
      </c>
      <c r="M198" s="46">
        <f>(($V198*1000)*(IFERROR($T198-WebPosting!$K$1,"0")))</f>
        <v>15350000000</v>
      </c>
      <c r="N198" s="43">
        <f t="shared" si="3"/>
        <v>376749.99999999994</v>
      </c>
      <c r="O198" s="416" t="s">
        <v>672</v>
      </c>
      <c r="P198" s="416" t="s">
        <v>831</v>
      </c>
      <c r="Q198" s="416" t="s">
        <v>832</v>
      </c>
      <c r="R198" s="417">
        <v>42794</v>
      </c>
      <c r="S198" s="417">
        <v>43132</v>
      </c>
      <c r="T198" s="417">
        <v>43132</v>
      </c>
      <c r="U198" s="416">
        <v>0.75349999999999995</v>
      </c>
      <c r="V198" s="418">
        <v>50000</v>
      </c>
      <c r="W198" s="419">
        <v>49646273.609999999</v>
      </c>
      <c r="X198" s="416" t="s">
        <v>666</v>
      </c>
      <c r="Y198" s="416" t="s">
        <v>677</v>
      </c>
      <c r="Z198" s="416" t="s">
        <v>830</v>
      </c>
      <c r="AA198" s="416" t="s">
        <v>665</v>
      </c>
      <c r="AB198" s="416" t="s">
        <v>666</v>
      </c>
      <c r="AC198" s="416" t="s">
        <v>666</v>
      </c>
      <c r="AG198" s="53"/>
      <c r="AH198" s="54"/>
    </row>
    <row r="199" spans="1:34">
      <c r="A199" s="415">
        <v>3</v>
      </c>
      <c r="B199" s="415" t="s">
        <v>570</v>
      </c>
      <c r="C199" s="415">
        <v>62</v>
      </c>
      <c r="D199" s="415" t="s">
        <v>579</v>
      </c>
      <c r="E199" s="415">
        <v>10</v>
      </c>
      <c r="F199" s="415" t="s">
        <v>572</v>
      </c>
      <c r="G199" s="415">
        <v>15</v>
      </c>
      <c r="H199" s="415" t="s">
        <v>471</v>
      </c>
      <c r="I199" s="415" t="s">
        <v>560</v>
      </c>
      <c r="J199" s="415" t="s">
        <v>561</v>
      </c>
      <c r="K199" s="415">
        <v>17030309</v>
      </c>
      <c r="L199" s="41">
        <f>VLOOKUP(K199,WebPosting!$B$6:$B$561,1,FALSE)</f>
        <v>17030309</v>
      </c>
      <c r="M199" s="46">
        <f>(($V199*1000)*(IFERROR($T199-WebPosting!$K$1,"0")))</f>
        <v>16750000000</v>
      </c>
      <c r="N199" s="43">
        <f t="shared" si="3"/>
        <v>464750</v>
      </c>
      <c r="O199" s="416" t="s">
        <v>672</v>
      </c>
      <c r="P199" s="416" t="s">
        <v>667</v>
      </c>
      <c r="Q199" s="416" t="s">
        <v>668</v>
      </c>
      <c r="R199" s="417">
        <v>42797</v>
      </c>
      <c r="S199" s="417">
        <v>43160</v>
      </c>
      <c r="T199" s="417">
        <v>43160</v>
      </c>
      <c r="U199" s="416">
        <v>0.92949999999999999</v>
      </c>
      <c r="V199" s="418">
        <v>50000</v>
      </c>
      <c r="W199" s="419">
        <v>49531377.079999998</v>
      </c>
      <c r="X199" s="416" t="s">
        <v>666</v>
      </c>
      <c r="Y199" s="416" t="s">
        <v>677</v>
      </c>
      <c r="Z199" s="416" t="s">
        <v>833</v>
      </c>
      <c r="AA199" s="416" t="s">
        <v>665</v>
      </c>
      <c r="AB199" s="416" t="s">
        <v>666</v>
      </c>
      <c r="AC199" s="416" t="s">
        <v>666</v>
      </c>
      <c r="AG199" s="53"/>
      <c r="AH199" s="54"/>
    </row>
    <row r="200" spans="1:34">
      <c r="A200" s="415">
        <v>3</v>
      </c>
      <c r="B200" s="415" t="s">
        <v>570</v>
      </c>
      <c r="C200" s="415">
        <v>62</v>
      </c>
      <c r="D200" s="415" t="s">
        <v>579</v>
      </c>
      <c r="E200" s="415">
        <v>10</v>
      </c>
      <c r="F200" s="415" t="s">
        <v>572</v>
      </c>
      <c r="G200" s="415">
        <v>15</v>
      </c>
      <c r="H200" s="415" t="s">
        <v>471</v>
      </c>
      <c r="I200" s="415" t="s">
        <v>560</v>
      </c>
      <c r="J200" s="415" t="s">
        <v>561</v>
      </c>
      <c r="K200" s="415">
        <v>17030609</v>
      </c>
      <c r="L200" s="41">
        <f>VLOOKUP(K200,WebPosting!$B$6:$B$561,1,FALSE)</f>
        <v>17030609</v>
      </c>
      <c r="M200" s="46">
        <f>(($V200*1000)*(IFERROR($T200-WebPosting!$K$1,"0")))</f>
        <v>16750000000</v>
      </c>
      <c r="N200" s="43">
        <f t="shared" si="3"/>
        <v>467249.99999999994</v>
      </c>
      <c r="O200" s="416" t="s">
        <v>672</v>
      </c>
      <c r="P200" s="416" t="s">
        <v>834</v>
      </c>
      <c r="Q200" s="416" t="s">
        <v>835</v>
      </c>
      <c r="R200" s="417">
        <v>42800</v>
      </c>
      <c r="S200" s="417">
        <v>43160</v>
      </c>
      <c r="T200" s="417">
        <v>43160</v>
      </c>
      <c r="U200" s="416">
        <v>0.9345</v>
      </c>
      <c r="V200" s="418">
        <v>50000</v>
      </c>
      <c r="W200" s="419">
        <v>49532750</v>
      </c>
      <c r="X200" s="416" t="s">
        <v>666</v>
      </c>
      <c r="Y200" s="416" t="s">
        <v>677</v>
      </c>
      <c r="Z200" s="416" t="s">
        <v>833</v>
      </c>
      <c r="AA200" s="416" t="s">
        <v>665</v>
      </c>
      <c r="AB200" s="416" t="s">
        <v>666</v>
      </c>
      <c r="AC200" s="416" t="s">
        <v>666</v>
      </c>
      <c r="AG200" s="53"/>
      <c r="AH200" s="54"/>
    </row>
    <row r="201" spans="1:34">
      <c r="A201" s="415">
        <v>3</v>
      </c>
      <c r="B201" s="415" t="s">
        <v>570</v>
      </c>
      <c r="C201" s="415">
        <v>62</v>
      </c>
      <c r="D201" s="415" t="s">
        <v>579</v>
      </c>
      <c r="E201" s="415">
        <v>10</v>
      </c>
      <c r="F201" s="415" t="s">
        <v>572</v>
      </c>
      <c r="G201" s="415">
        <v>15</v>
      </c>
      <c r="H201" s="415" t="s">
        <v>471</v>
      </c>
      <c r="I201" s="415" t="s">
        <v>560</v>
      </c>
      <c r="J201" s="415" t="s">
        <v>561</v>
      </c>
      <c r="K201" s="415">
        <v>17030802</v>
      </c>
      <c r="L201" s="41">
        <f>VLOOKUP(K201,WebPosting!$B$6:$B$561,1,FALSE)</f>
        <v>17030802</v>
      </c>
      <c r="M201" s="46">
        <f>(($V201*1000)*(IFERROR($T201-WebPosting!$K$1,"0")))</f>
        <v>16750000000</v>
      </c>
      <c r="N201" s="43">
        <f t="shared" si="3"/>
        <v>481250</v>
      </c>
      <c r="O201" s="416" t="s">
        <v>672</v>
      </c>
      <c r="P201" s="416" t="s">
        <v>673</v>
      </c>
      <c r="Q201" s="416" t="s">
        <v>674</v>
      </c>
      <c r="R201" s="417">
        <v>42802</v>
      </c>
      <c r="S201" s="417">
        <v>43160</v>
      </c>
      <c r="T201" s="417">
        <v>43160</v>
      </c>
      <c r="U201" s="416">
        <v>0.96250000000000002</v>
      </c>
      <c r="V201" s="418">
        <v>50000</v>
      </c>
      <c r="W201" s="419">
        <v>49521423.609999999</v>
      </c>
      <c r="X201" s="416" t="s">
        <v>666</v>
      </c>
      <c r="Y201" s="416" t="s">
        <v>677</v>
      </c>
      <c r="Z201" s="416" t="s">
        <v>833</v>
      </c>
      <c r="AA201" s="416" t="s">
        <v>665</v>
      </c>
      <c r="AB201" s="416" t="s">
        <v>666</v>
      </c>
      <c r="AC201" s="416" t="s">
        <v>666</v>
      </c>
      <c r="AG201" s="53"/>
      <c r="AH201" s="54"/>
    </row>
    <row r="202" spans="1:34">
      <c r="A202" s="415">
        <v>3</v>
      </c>
      <c r="B202" s="415" t="s">
        <v>570</v>
      </c>
      <c r="C202" s="415">
        <v>62</v>
      </c>
      <c r="D202" s="415" t="s">
        <v>579</v>
      </c>
      <c r="E202" s="415">
        <v>10</v>
      </c>
      <c r="F202" s="415" t="s">
        <v>572</v>
      </c>
      <c r="G202" s="415">
        <v>15</v>
      </c>
      <c r="H202" s="415" t="s">
        <v>471</v>
      </c>
      <c r="I202" s="415" t="s">
        <v>560</v>
      </c>
      <c r="J202" s="415" t="s">
        <v>561</v>
      </c>
      <c r="K202" s="415">
        <v>17031301</v>
      </c>
      <c r="L202" s="41">
        <f>VLOOKUP(K202,WebPosting!$B$6:$B$561,1,FALSE)</f>
        <v>17031301</v>
      </c>
      <c r="M202" s="46">
        <f>(($V202*1000)*(IFERROR($T202-WebPosting!$K$1,"0")))</f>
        <v>16750000000</v>
      </c>
      <c r="N202" s="43">
        <f t="shared" si="3"/>
        <v>504750</v>
      </c>
      <c r="O202" s="416" t="s">
        <v>672</v>
      </c>
      <c r="P202" s="416" t="s">
        <v>667</v>
      </c>
      <c r="Q202" s="416" t="s">
        <v>668</v>
      </c>
      <c r="R202" s="417">
        <v>42807</v>
      </c>
      <c r="S202" s="417">
        <v>43160</v>
      </c>
      <c r="T202" s="417">
        <v>43160</v>
      </c>
      <c r="U202" s="416">
        <v>1.0095000000000001</v>
      </c>
      <c r="V202" s="418">
        <v>50000</v>
      </c>
      <c r="W202" s="419">
        <v>49505064.579999998</v>
      </c>
      <c r="X202" s="416" t="s">
        <v>666</v>
      </c>
      <c r="Y202" s="416" t="s">
        <v>677</v>
      </c>
      <c r="Z202" s="416" t="s">
        <v>833</v>
      </c>
      <c r="AA202" s="416" t="s">
        <v>665</v>
      </c>
      <c r="AB202" s="416" t="s">
        <v>666</v>
      </c>
      <c r="AC202" s="416" t="s">
        <v>666</v>
      </c>
      <c r="AG202" s="53"/>
      <c r="AH202" s="54"/>
    </row>
    <row r="203" spans="1:34">
      <c r="A203" s="415">
        <v>3</v>
      </c>
      <c r="B203" s="415" t="s">
        <v>570</v>
      </c>
      <c r="C203" s="415">
        <v>62</v>
      </c>
      <c r="D203" s="415" t="s">
        <v>579</v>
      </c>
      <c r="E203" s="415">
        <v>10</v>
      </c>
      <c r="F203" s="415" t="s">
        <v>572</v>
      </c>
      <c r="G203" s="415">
        <v>15</v>
      </c>
      <c r="H203" s="415" t="s">
        <v>471</v>
      </c>
      <c r="I203" s="415" t="s">
        <v>560</v>
      </c>
      <c r="J203" s="415" t="s">
        <v>561</v>
      </c>
      <c r="K203" s="415">
        <v>17031405</v>
      </c>
      <c r="L203" s="41">
        <f>VLOOKUP(K203,WebPosting!$B$6:$B$561,1,FALSE)</f>
        <v>17031405</v>
      </c>
      <c r="M203" s="46">
        <f>(($V203*1000)*(IFERROR($T203-WebPosting!$K$1,"0")))</f>
        <v>16750000000</v>
      </c>
      <c r="N203" s="43">
        <f t="shared" si="3"/>
        <v>508750</v>
      </c>
      <c r="O203" s="416" t="s">
        <v>672</v>
      </c>
      <c r="P203" s="416" t="s">
        <v>819</v>
      </c>
      <c r="Q203" s="416" t="s">
        <v>820</v>
      </c>
      <c r="R203" s="417">
        <v>42808</v>
      </c>
      <c r="S203" s="417">
        <v>43160</v>
      </c>
      <c r="T203" s="417">
        <v>43160</v>
      </c>
      <c r="U203" s="416">
        <v>1.0175000000000001</v>
      </c>
      <c r="V203" s="418">
        <v>50000</v>
      </c>
      <c r="W203" s="419">
        <v>49502555.560000002</v>
      </c>
      <c r="X203" s="416" t="s">
        <v>666</v>
      </c>
      <c r="Y203" s="416" t="s">
        <v>677</v>
      </c>
      <c r="Z203" s="416" t="s">
        <v>833</v>
      </c>
      <c r="AA203" s="416" t="s">
        <v>665</v>
      </c>
      <c r="AB203" s="416" t="s">
        <v>666</v>
      </c>
      <c r="AC203" s="416" t="s">
        <v>666</v>
      </c>
      <c r="AG203" s="53"/>
      <c r="AH203" s="54"/>
    </row>
    <row r="204" spans="1:34">
      <c r="A204" s="415">
        <v>3</v>
      </c>
      <c r="B204" s="415" t="s">
        <v>570</v>
      </c>
      <c r="C204" s="415">
        <v>62</v>
      </c>
      <c r="D204" s="415" t="s">
        <v>579</v>
      </c>
      <c r="E204" s="415">
        <v>60</v>
      </c>
      <c r="F204" s="415" t="s">
        <v>580</v>
      </c>
      <c r="G204" s="415">
        <v>15</v>
      </c>
      <c r="H204" s="415" t="s">
        <v>581</v>
      </c>
      <c r="I204" s="415" t="s">
        <v>582</v>
      </c>
      <c r="J204" s="415" t="s">
        <v>561</v>
      </c>
      <c r="K204" s="415">
        <v>17011713</v>
      </c>
      <c r="L204" s="41">
        <f>VLOOKUP(K204,WebPosting!$B$6:$B$561,1,FALSE)</f>
        <v>17011713</v>
      </c>
      <c r="M204" s="46">
        <f>(($V204*1000)*(IFERROR($T204-WebPosting!$K$1,"0")))</f>
        <v>2070000000</v>
      </c>
      <c r="N204" s="43">
        <f t="shared" si="3"/>
        <v>163500</v>
      </c>
      <c r="O204" s="416" t="s">
        <v>672</v>
      </c>
      <c r="P204" s="416" t="s">
        <v>667</v>
      </c>
      <c r="Q204" s="416" t="s">
        <v>668</v>
      </c>
      <c r="R204" s="417">
        <v>42752</v>
      </c>
      <c r="S204" s="417">
        <v>42894</v>
      </c>
      <c r="T204" s="417">
        <v>42894</v>
      </c>
      <c r="U204" s="416">
        <v>0.54500000000000004</v>
      </c>
      <c r="V204" s="418">
        <v>30000</v>
      </c>
      <c r="W204" s="419">
        <v>29935508.329999998</v>
      </c>
      <c r="X204" s="416" t="s">
        <v>666</v>
      </c>
      <c r="Y204" s="416" t="s">
        <v>677</v>
      </c>
      <c r="Z204" s="416" t="s">
        <v>836</v>
      </c>
      <c r="AA204" s="416" t="s">
        <v>665</v>
      </c>
      <c r="AB204" s="416" t="s">
        <v>666</v>
      </c>
      <c r="AC204" s="416" t="s">
        <v>666</v>
      </c>
      <c r="AG204" s="53"/>
      <c r="AH204" s="54"/>
    </row>
    <row r="205" spans="1:34">
      <c r="A205" s="415">
        <v>3</v>
      </c>
      <c r="B205" s="415" t="s">
        <v>570</v>
      </c>
      <c r="C205" s="415">
        <v>62</v>
      </c>
      <c r="D205" s="415" t="s">
        <v>579</v>
      </c>
      <c r="E205" s="415">
        <v>60</v>
      </c>
      <c r="F205" s="415" t="s">
        <v>580</v>
      </c>
      <c r="G205" s="415">
        <v>15</v>
      </c>
      <c r="H205" s="415" t="s">
        <v>581</v>
      </c>
      <c r="I205" s="415" t="s">
        <v>582</v>
      </c>
      <c r="J205" s="415" t="s">
        <v>561</v>
      </c>
      <c r="K205" s="415">
        <v>17030711</v>
      </c>
      <c r="L205" s="41">
        <f>VLOOKUP(K205,WebPosting!$B$6:$B$561,1,FALSE)</f>
        <v>17030711</v>
      </c>
      <c r="M205" s="46">
        <f>(($V205*1000)*(IFERROR($T205-WebPosting!$K$1,"0")))</f>
        <v>5200000000</v>
      </c>
      <c r="N205" s="43">
        <f t="shared" si="3"/>
        <v>380250</v>
      </c>
      <c r="O205" s="416" t="s">
        <v>672</v>
      </c>
      <c r="P205" s="416" t="s">
        <v>816</v>
      </c>
      <c r="Q205" s="416" t="s">
        <v>817</v>
      </c>
      <c r="R205" s="417">
        <v>42801</v>
      </c>
      <c r="S205" s="417">
        <v>42929</v>
      </c>
      <c r="T205" s="417">
        <v>42929</v>
      </c>
      <c r="U205" s="416">
        <v>0.76049999999999995</v>
      </c>
      <c r="V205" s="418">
        <v>50000</v>
      </c>
      <c r="W205" s="419">
        <v>49864800</v>
      </c>
      <c r="X205" s="416" t="s">
        <v>666</v>
      </c>
      <c r="Y205" s="416" t="s">
        <v>677</v>
      </c>
      <c r="Z205" s="416" t="s">
        <v>837</v>
      </c>
      <c r="AA205" s="416" t="s">
        <v>665</v>
      </c>
      <c r="AB205" s="416" t="s">
        <v>666</v>
      </c>
      <c r="AC205" s="416" t="s">
        <v>666</v>
      </c>
      <c r="AG205" s="53"/>
      <c r="AH205" s="54"/>
    </row>
    <row r="206" spans="1:34">
      <c r="A206" s="415">
        <v>3</v>
      </c>
      <c r="B206" s="415" t="s">
        <v>570</v>
      </c>
      <c r="C206" s="415">
        <v>64</v>
      </c>
      <c r="D206" s="415" t="s">
        <v>583</v>
      </c>
      <c r="E206" s="415">
        <v>65</v>
      </c>
      <c r="F206" s="415" t="s">
        <v>584</v>
      </c>
      <c r="G206" s="415">
        <v>15</v>
      </c>
      <c r="H206" s="415" t="s">
        <v>581</v>
      </c>
      <c r="I206" s="415" t="s">
        <v>585</v>
      </c>
      <c r="J206" s="415" t="s">
        <v>586</v>
      </c>
      <c r="K206" s="415">
        <v>16112922</v>
      </c>
      <c r="L206" s="41">
        <f>VLOOKUP(K206,WebPosting!$B$6:$B$561,1,FALSE)</f>
        <v>16112922</v>
      </c>
      <c r="M206" s="46">
        <f>(($V206*1000)*(IFERROR($T206-WebPosting!$K$1,"0")))</f>
        <v>2250000000</v>
      </c>
      <c r="N206" s="43">
        <f t="shared" si="3"/>
        <v>275000</v>
      </c>
      <c r="O206" s="416" t="s">
        <v>672</v>
      </c>
      <c r="P206" s="416" t="s">
        <v>838</v>
      </c>
      <c r="Q206" s="416" t="s">
        <v>839</v>
      </c>
      <c r="R206" s="417">
        <v>42703</v>
      </c>
      <c r="S206" s="417">
        <v>42870</v>
      </c>
      <c r="T206" s="417">
        <v>42870</v>
      </c>
      <c r="U206" s="416">
        <v>0.55000000000000004</v>
      </c>
      <c r="V206" s="418">
        <v>50000</v>
      </c>
      <c r="W206" s="419">
        <v>49872430.560000002</v>
      </c>
      <c r="X206" s="416" t="s">
        <v>666</v>
      </c>
      <c r="Y206" s="416" t="s">
        <v>677</v>
      </c>
      <c r="Z206" s="416" t="s">
        <v>840</v>
      </c>
      <c r="AA206" s="416" t="s">
        <v>665</v>
      </c>
      <c r="AB206" s="416" t="s">
        <v>666</v>
      </c>
      <c r="AC206" s="416" t="s">
        <v>666</v>
      </c>
      <c r="AG206" s="53"/>
      <c r="AH206" s="54"/>
    </row>
    <row r="207" spans="1:34">
      <c r="A207" s="415">
        <v>3</v>
      </c>
      <c r="B207" s="415" t="s">
        <v>570</v>
      </c>
      <c r="C207" s="415">
        <v>64</v>
      </c>
      <c r="D207" s="415" t="s">
        <v>583</v>
      </c>
      <c r="E207" s="415">
        <v>65</v>
      </c>
      <c r="F207" s="415" t="s">
        <v>584</v>
      </c>
      <c r="G207" s="415">
        <v>15</v>
      </c>
      <c r="H207" s="415" t="s">
        <v>581</v>
      </c>
      <c r="I207" s="415" t="s">
        <v>585</v>
      </c>
      <c r="J207" s="415" t="s">
        <v>586</v>
      </c>
      <c r="K207" s="415">
        <v>17011213</v>
      </c>
      <c r="L207" s="41">
        <f>VLOOKUP(K207,WebPosting!$B$6:$B$561,1,FALSE)</f>
        <v>17011213</v>
      </c>
      <c r="M207" s="46">
        <f>(($V207*1000)*(IFERROR($T207-WebPosting!$K$1,"0")))</f>
        <v>3100000000</v>
      </c>
      <c r="N207" s="43">
        <f t="shared" si="3"/>
        <v>265000</v>
      </c>
      <c r="O207" s="416" t="s">
        <v>672</v>
      </c>
      <c r="P207" s="416" t="s">
        <v>683</v>
      </c>
      <c r="Q207" s="416" t="s">
        <v>684</v>
      </c>
      <c r="R207" s="417">
        <v>42747</v>
      </c>
      <c r="S207" s="417">
        <v>42887</v>
      </c>
      <c r="T207" s="417">
        <v>42887</v>
      </c>
      <c r="U207" s="416">
        <v>0.53</v>
      </c>
      <c r="V207" s="418">
        <v>50000</v>
      </c>
      <c r="W207" s="419">
        <v>49896944.439999998</v>
      </c>
      <c r="X207" s="416" t="s">
        <v>666</v>
      </c>
      <c r="Y207" s="416" t="s">
        <v>677</v>
      </c>
      <c r="Z207" s="416" t="s">
        <v>841</v>
      </c>
      <c r="AA207" s="416" t="s">
        <v>665</v>
      </c>
      <c r="AB207" s="416" t="s">
        <v>666</v>
      </c>
      <c r="AC207" s="416" t="s">
        <v>666</v>
      </c>
      <c r="AG207" s="53"/>
      <c r="AH207" s="54"/>
    </row>
    <row r="208" spans="1:34">
      <c r="A208" s="415">
        <v>3</v>
      </c>
      <c r="B208" s="415" t="s">
        <v>570</v>
      </c>
      <c r="C208" s="415">
        <v>65</v>
      </c>
      <c r="D208" s="415" t="s">
        <v>587</v>
      </c>
      <c r="E208" s="415">
        <v>10</v>
      </c>
      <c r="F208" s="415" t="s">
        <v>305</v>
      </c>
      <c r="G208" s="415">
        <v>15</v>
      </c>
      <c r="H208" s="415" t="s">
        <v>471</v>
      </c>
      <c r="I208" s="415" t="s">
        <v>441</v>
      </c>
      <c r="J208" s="415" t="s">
        <v>442</v>
      </c>
      <c r="K208" s="415">
        <v>17031701</v>
      </c>
      <c r="L208" s="41">
        <f>VLOOKUP(K208,WebPosting!$B$6:$B$561,1,FALSE)</f>
        <v>17031701</v>
      </c>
      <c r="M208" s="46">
        <f>(($V208*1000)*(IFERROR($T208-WebPosting!$K$1,"0")))</f>
        <v>3850000000</v>
      </c>
      <c r="N208" s="43">
        <f t="shared" si="3"/>
        <v>217499.99999999997</v>
      </c>
      <c r="O208" s="416" t="s">
        <v>672</v>
      </c>
      <c r="P208" s="416" t="s">
        <v>683</v>
      </c>
      <c r="Q208" s="416" t="s">
        <v>684</v>
      </c>
      <c r="R208" s="417">
        <v>42811</v>
      </c>
      <c r="S208" s="417">
        <v>42979</v>
      </c>
      <c r="T208" s="417">
        <v>42979</v>
      </c>
      <c r="U208" s="416">
        <v>0.87</v>
      </c>
      <c r="V208" s="418">
        <v>25000</v>
      </c>
      <c r="W208" s="419">
        <v>24898500</v>
      </c>
      <c r="X208" s="416" t="s">
        <v>666</v>
      </c>
      <c r="Y208" s="416" t="s">
        <v>677</v>
      </c>
      <c r="Z208" s="416" t="s">
        <v>842</v>
      </c>
      <c r="AA208" s="416" t="s">
        <v>665</v>
      </c>
      <c r="AB208" s="416" t="s">
        <v>666</v>
      </c>
      <c r="AC208" s="416" t="s">
        <v>666</v>
      </c>
      <c r="AG208" s="53"/>
      <c r="AH208" s="54"/>
    </row>
    <row r="209" spans="1:39">
      <c r="A209" s="415">
        <v>3</v>
      </c>
      <c r="B209" s="415" t="s">
        <v>570</v>
      </c>
      <c r="C209" s="415">
        <v>65</v>
      </c>
      <c r="D209" s="415" t="s">
        <v>587</v>
      </c>
      <c r="E209" s="415">
        <v>65</v>
      </c>
      <c r="F209" s="415" t="s">
        <v>588</v>
      </c>
      <c r="G209" s="415">
        <v>15</v>
      </c>
      <c r="H209" s="415" t="s">
        <v>581</v>
      </c>
      <c r="I209" s="415" t="s">
        <v>589</v>
      </c>
      <c r="J209" s="415" t="s">
        <v>590</v>
      </c>
      <c r="K209" s="415">
        <v>16081015</v>
      </c>
      <c r="L209" s="41">
        <f>VLOOKUP(K209,WebPosting!$B$6:$B$561,1,FALSE)</f>
        <v>16081015</v>
      </c>
      <c r="M209" s="46">
        <f>(($V209*1000)*(IFERROR($T209-WebPosting!$K$1,"0")))</f>
        <v>150000000</v>
      </c>
      <c r="N209" s="43">
        <f t="shared" si="3"/>
        <v>220000</v>
      </c>
      <c r="O209" s="416" t="s">
        <v>672</v>
      </c>
      <c r="P209" s="416" t="s">
        <v>838</v>
      </c>
      <c r="Q209" s="416" t="s">
        <v>839</v>
      </c>
      <c r="R209" s="417">
        <v>42592</v>
      </c>
      <c r="S209" s="417">
        <v>42828</v>
      </c>
      <c r="T209" s="417">
        <v>42828</v>
      </c>
      <c r="U209" s="416">
        <v>0.44</v>
      </c>
      <c r="V209" s="418">
        <v>50000</v>
      </c>
      <c r="W209" s="419">
        <v>49855777.780000001</v>
      </c>
      <c r="X209" s="416" t="s">
        <v>666</v>
      </c>
      <c r="Y209" s="416" t="s">
        <v>677</v>
      </c>
      <c r="Z209" s="416" t="s">
        <v>843</v>
      </c>
      <c r="AA209" s="416" t="s">
        <v>665</v>
      </c>
      <c r="AB209" s="416" t="s">
        <v>666</v>
      </c>
      <c r="AC209" s="416" t="s">
        <v>666</v>
      </c>
      <c r="AG209" s="53"/>
      <c r="AH209" s="54"/>
    </row>
    <row r="210" spans="1:39">
      <c r="A210" s="415">
        <v>3</v>
      </c>
      <c r="B210" s="415" t="s">
        <v>570</v>
      </c>
      <c r="C210" s="415">
        <v>65</v>
      </c>
      <c r="D210" s="415" t="s">
        <v>587</v>
      </c>
      <c r="E210" s="415">
        <v>65</v>
      </c>
      <c r="F210" s="415" t="s">
        <v>588</v>
      </c>
      <c r="G210" s="415">
        <v>15</v>
      </c>
      <c r="H210" s="415" t="s">
        <v>581</v>
      </c>
      <c r="I210" s="415" t="s">
        <v>589</v>
      </c>
      <c r="J210" s="415" t="s">
        <v>590</v>
      </c>
      <c r="K210" s="415">
        <v>16090115</v>
      </c>
      <c r="L210" s="41">
        <f>VLOOKUP(K210,WebPosting!$B$6:$B$561,1,FALSE)</f>
        <v>16090115</v>
      </c>
      <c r="M210" s="46">
        <f>(($V210*1000)*(IFERROR($T210-WebPosting!$K$1,"0")))</f>
        <v>850000000</v>
      </c>
      <c r="N210" s="43">
        <f t="shared" si="3"/>
        <v>239999.99999999997</v>
      </c>
      <c r="O210" s="416" t="s">
        <v>672</v>
      </c>
      <c r="P210" s="416" t="s">
        <v>844</v>
      </c>
      <c r="Q210" s="416" t="s">
        <v>845</v>
      </c>
      <c r="R210" s="417">
        <v>42614</v>
      </c>
      <c r="S210" s="417">
        <v>42842</v>
      </c>
      <c r="T210" s="417">
        <v>42842</v>
      </c>
      <c r="U210" s="416">
        <v>0.48</v>
      </c>
      <c r="V210" s="418">
        <v>50000</v>
      </c>
      <c r="W210" s="419">
        <v>49848000</v>
      </c>
      <c r="X210" s="416" t="s">
        <v>666</v>
      </c>
      <c r="Y210" s="416" t="s">
        <v>677</v>
      </c>
      <c r="Z210" s="416" t="s">
        <v>846</v>
      </c>
      <c r="AA210" s="416" t="s">
        <v>665</v>
      </c>
      <c r="AB210" s="416" t="s">
        <v>666</v>
      </c>
      <c r="AC210" s="416" t="s">
        <v>666</v>
      </c>
      <c r="AG210" s="53"/>
      <c r="AH210" s="54"/>
    </row>
    <row r="211" spans="1:39">
      <c r="A211" s="415">
        <v>3</v>
      </c>
      <c r="B211" s="415" t="s">
        <v>570</v>
      </c>
      <c r="C211" s="415">
        <v>65</v>
      </c>
      <c r="D211" s="415" t="s">
        <v>587</v>
      </c>
      <c r="E211" s="415">
        <v>65</v>
      </c>
      <c r="F211" s="415" t="s">
        <v>588</v>
      </c>
      <c r="G211" s="415">
        <v>15</v>
      </c>
      <c r="H211" s="415" t="s">
        <v>581</v>
      </c>
      <c r="I211" s="415" t="s">
        <v>589</v>
      </c>
      <c r="J211" s="415" t="s">
        <v>590</v>
      </c>
      <c r="K211" s="415">
        <v>16090211</v>
      </c>
      <c r="L211" s="41">
        <f>VLOOKUP(K211,WebPosting!$B$6:$B$561,1,FALSE)</f>
        <v>16090211</v>
      </c>
      <c r="M211" s="46">
        <f>(($V211*1000)*(IFERROR($T211-WebPosting!$K$1,"0")))</f>
        <v>850000000</v>
      </c>
      <c r="N211" s="43">
        <f t="shared" si="3"/>
        <v>225000.00000000003</v>
      </c>
      <c r="O211" s="416" t="s">
        <v>672</v>
      </c>
      <c r="P211" s="416" t="s">
        <v>847</v>
      </c>
      <c r="Q211" s="416" t="s">
        <v>848</v>
      </c>
      <c r="R211" s="417">
        <v>42615</v>
      </c>
      <c r="S211" s="417">
        <v>42842</v>
      </c>
      <c r="T211" s="417">
        <v>42842</v>
      </c>
      <c r="U211" s="416">
        <v>0.45</v>
      </c>
      <c r="V211" s="418">
        <v>50000</v>
      </c>
      <c r="W211" s="419">
        <v>49858125</v>
      </c>
      <c r="X211" s="416" t="s">
        <v>666</v>
      </c>
      <c r="Y211" s="416" t="s">
        <v>677</v>
      </c>
      <c r="Z211" s="416" t="s">
        <v>846</v>
      </c>
      <c r="AA211" s="416" t="s">
        <v>665</v>
      </c>
      <c r="AB211" s="416" t="s">
        <v>666</v>
      </c>
      <c r="AC211" s="416" t="s">
        <v>666</v>
      </c>
      <c r="AG211" s="53"/>
      <c r="AH211" s="54"/>
    </row>
    <row r="212" spans="1:39">
      <c r="A212" s="415">
        <v>3</v>
      </c>
      <c r="B212" s="415" t="s">
        <v>570</v>
      </c>
      <c r="C212" s="415">
        <v>65</v>
      </c>
      <c r="D212" s="415" t="s">
        <v>587</v>
      </c>
      <c r="E212" s="415">
        <v>65</v>
      </c>
      <c r="F212" s="415" t="s">
        <v>588</v>
      </c>
      <c r="G212" s="415">
        <v>15</v>
      </c>
      <c r="H212" s="415" t="s">
        <v>581</v>
      </c>
      <c r="I212" s="415" t="s">
        <v>589</v>
      </c>
      <c r="J212" s="415" t="s">
        <v>590</v>
      </c>
      <c r="K212" s="415">
        <v>16100515</v>
      </c>
      <c r="L212" s="41">
        <f>VLOOKUP(K212,WebPosting!$B$6:$B$561,1,FALSE)</f>
        <v>16100515</v>
      </c>
      <c r="M212" s="46">
        <f>(($V212*1000)*(IFERROR($T212-WebPosting!$K$1,"0")))</f>
        <v>1650000000</v>
      </c>
      <c r="N212" s="43">
        <f t="shared" si="3"/>
        <v>239999.99999999997</v>
      </c>
      <c r="O212" s="416" t="s">
        <v>672</v>
      </c>
      <c r="P212" s="416" t="s">
        <v>838</v>
      </c>
      <c r="Q212" s="416" t="s">
        <v>839</v>
      </c>
      <c r="R212" s="417">
        <v>42648</v>
      </c>
      <c r="S212" s="417">
        <v>42858</v>
      </c>
      <c r="T212" s="417">
        <v>42858</v>
      </c>
      <c r="U212" s="416">
        <v>0.48</v>
      </c>
      <c r="V212" s="418">
        <v>50000</v>
      </c>
      <c r="W212" s="419">
        <v>49860000</v>
      </c>
      <c r="X212" s="416" t="s">
        <v>666</v>
      </c>
      <c r="Y212" s="416" t="s">
        <v>677</v>
      </c>
      <c r="Z212" s="416" t="s">
        <v>849</v>
      </c>
      <c r="AA212" s="416" t="s">
        <v>665</v>
      </c>
      <c r="AB212" s="416" t="s">
        <v>666</v>
      </c>
      <c r="AC212" s="416" t="s">
        <v>666</v>
      </c>
      <c r="AG212" s="53"/>
      <c r="AH212" s="54"/>
    </row>
    <row r="213" spans="1:39">
      <c r="A213" s="415">
        <v>3</v>
      </c>
      <c r="B213" s="415" t="s">
        <v>570</v>
      </c>
      <c r="C213" s="415">
        <v>65</v>
      </c>
      <c r="D213" s="415" t="s">
        <v>587</v>
      </c>
      <c r="E213" s="415">
        <v>65</v>
      </c>
      <c r="F213" s="415" t="s">
        <v>588</v>
      </c>
      <c r="G213" s="415">
        <v>15</v>
      </c>
      <c r="H213" s="415" t="s">
        <v>581</v>
      </c>
      <c r="I213" s="415" t="s">
        <v>589</v>
      </c>
      <c r="J213" s="415" t="s">
        <v>590</v>
      </c>
      <c r="K213" s="415">
        <v>16101212</v>
      </c>
      <c r="L213" s="41">
        <f>VLOOKUP(K213,WebPosting!$B$6:$B$561,1,FALSE)</f>
        <v>16101212</v>
      </c>
      <c r="M213" s="46">
        <f>(($V213*1000)*(IFERROR($T213-WebPosting!$K$1,"0")))</f>
        <v>1900000000</v>
      </c>
      <c r="N213" s="43">
        <f t="shared" si="3"/>
        <v>245000</v>
      </c>
      <c r="O213" s="416" t="s">
        <v>672</v>
      </c>
      <c r="P213" s="416" t="s">
        <v>685</v>
      </c>
      <c r="Q213" s="416" t="s">
        <v>686</v>
      </c>
      <c r="R213" s="417">
        <v>42655</v>
      </c>
      <c r="S213" s="417">
        <v>42863</v>
      </c>
      <c r="T213" s="417">
        <v>42863</v>
      </c>
      <c r="U213" s="416">
        <v>0.49</v>
      </c>
      <c r="V213" s="418">
        <v>50000</v>
      </c>
      <c r="W213" s="419">
        <v>49858444.439999998</v>
      </c>
      <c r="X213" s="416" t="s">
        <v>666</v>
      </c>
      <c r="Y213" s="416" t="s">
        <v>677</v>
      </c>
      <c r="Z213" s="416" t="s">
        <v>850</v>
      </c>
      <c r="AA213" s="416" t="s">
        <v>665</v>
      </c>
      <c r="AB213" s="416" t="s">
        <v>666</v>
      </c>
      <c r="AC213" s="416" t="s">
        <v>666</v>
      </c>
      <c r="AG213" s="53"/>
      <c r="AH213" s="54"/>
    </row>
    <row r="214" spans="1:39">
      <c r="A214" s="415">
        <v>3</v>
      </c>
      <c r="B214" s="415" t="s">
        <v>570</v>
      </c>
      <c r="C214" s="415">
        <v>65</v>
      </c>
      <c r="D214" s="415" t="s">
        <v>587</v>
      </c>
      <c r="E214" s="415">
        <v>65</v>
      </c>
      <c r="F214" s="415" t="s">
        <v>588</v>
      </c>
      <c r="G214" s="415">
        <v>15</v>
      </c>
      <c r="H214" s="415" t="s">
        <v>581</v>
      </c>
      <c r="I214" s="415" t="s">
        <v>589</v>
      </c>
      <c r="J214" s="415" t="s">
        <v>590</v>
      </c>
      <c r="K214" s="415">
        <v>16110912</v>
      </c>
      <c r="L214" s="41">
        <f>VLOOKUP(K214,WebPosting!$B$6:$B$561,1,FALSE)</f>
        <v>16110912</v>
      </c>
      <c r="M214" s="46">
        <f>(($V214*1000)*(IFERROR($T214-WebPosting!$K$1,"0")))</f>
        <v>2450000000</v>
      </c>
      <c r="N214" s="43">
        <f t="shared" si="3"/>
        <v>260000</v>
      </c>
      <c r="O214" s="416" t="s">
        <v>672</v>
      </c>
      <c r="P214" s="416" t="s">
        <v>838</v>
      </c>
      <c r="Q214" s="416" t="s">
        <v>839</v>
      </c>
      <c r="R214" s="417">
        <v>42683</v>
      </c>
      <c r="S214" s="417">
        <v>42874</v>
      </c>
      <c r="T214" s="417">
        <v>42874</v>
      </c>
      <c r="U214" s="416">
        <v>0.52</v>
      </c>
      <c r="V214" s="418">
        <v>50000</v>
      </c>
      <c r="W214" s="419">
        <v>49862055.560000002</v>
      </c>
      <c r="X214" s="416" t="s">
        <v>666</v>
      </c>
      <c r="Y214" s="416" t="s">
        <v>677</v>
      </c>
      <c r="Z214" s="416" t="s">
        <v>851</v>
      </c>
      <c r="AA214" s="416" t="s">
        <v>665</v>
      </c>
      <c r="AB214" s="416" t="s">
        <v>666</v>
      </c>
      <c r="AC214" s="416" t="s">
        <v>666</v>
      </c>
      <c r="AG214" s="53"/>
      <c r="AH214" s="54"/>
    </row>
    <row r="215" spans="1:39">
      <c r="A215" s="415">
        <v>3</v>
      </c>
      <c r="B215" s="415" t="s">
        <v>570</v>
      </c>
      <c r="C215" s="415">
        <v>65</v>
      </c>
      <c r="D215" s="415" t="s">
        <v>587</v>
      </c>
      <c r="E215" s="415">
        <v>65</v>
      </c>
      <c r="F215" s="415" t="s">
        <v>588</v>
      </c>
      <c r="G215" s="415">
        <v>15</v>
      </c>
      <c r="H215" s="415" t="s">
        <v>581</v>
      </c>
      <c r="I215" s="415" t="s">
        <v>589</v>
      </c>
      <c r="J215" s="415" t="s">
        <v>590</v>
      </c>
      <c r="K215" s="415">
        <v>17013115</v>
      </c>
      <c r="L215" s="41">
        <f>VLOOKUP(K215,WebPosting!$B$6:$B$561,1,FALSE)</f>
        <v>17013115</v>
      </c>
      <c r="M215" s="46">
        <f>(($V215*1000)*(IFERROR($T215-WebPosting!$K$1,"0")))</f>
        <v>3300000000</v>
      </c>
      <c r="N215" s="43">
        <f t="shared" si="3"/>
        <v>260000</v>
      </c>
      <c r="O215" s="416" t="s">
        <v>672</v>
      </c>
      <c r="P215" s="416" t="s">
        <v>683</v>
      </c>
      <c r="Q215" s="416" t="s">
        <v>684</v>
      </c>
      <c r="R215" s="417">
        <v>42766</v>
      </c>
      <c r="S215" s="417">
        <v>42891</v>
      </c>
      <c r="T215" s="417">
        <v>42891</v>
      </c>
      <c r="U215" s="416">
        <v>0.52</v>
      </c>
      <c r="V215" s="418">
        <v>50000</v>
      </c>
      <c r="W215" s="419">
        <v>49909722.219999999</v>
      </c>
      <c r="X215" s="416" t="s">
        <v>666</v>
      </c>
      <c r="Y215" s="416" t="s">
        <v>677</v>
      </c>
      <c r="Z215" s="416" t="s">
        <v>852</v>
      </c>
      <c r="AA215" s="416" t="s">
        <v>665</v>
      </c>
      <c r="AB215" s="416" t="s">
        <v>666</v>
      </c>
      <c r="AC215" s="416" t="s">
        <v>666</v>
      </c>
      <c r="AG215" s="53"/>
      <c r="AH215" s="54"/>
    </row>
    <row r="216" spans="1:39">
      <c r="A216" s="415">
        <v>3</v>
      </c>
      <c r="B216" s="415" t="s">
        <v>570</v>
      </c>
      <c r="C216" s="415">
        <v>65</v>
      </c>
      <c r="D216" s="415" t="s">
        <v>587</v>
      </c>
      <c r="E216" s="415">
        <v>65</v>
      </c>
      <c r="F216" s="415" t="s">
        <v>588</v>
      </c>
      <c r="G216" s="415">
        <v>15</v>
      </c>
      <c r="H216" s="415" t="s">
        <v>581</v>
      </c>
      <c r="I216" s="415" t="s">
        <v>589</v>
      </c>
      <c r="J216" s="415" t="s">
        <v>590</v>
      </c>
      <c r="K216" s="415">
        <v>17020913</v>
      </c>
      <c r="L216" s="41">
        <f>VLOOKUP(K216,WebPosting!$B$6:$B$561,1,FALSE)</f>
        <v>17020913</v>
      </c>
      <c r="M216" s="46">
        <f>(($V216*1000)*(IFERROR($T216-WebPosting!$K$1,"0")))</f>
        <v>4700000000</v>
      </c>
      <c r="N216" s="43">
        <f t="shared" si="3"/>
        <v>284999.99999999994</v>
      </c>
      <c r="O216" s="416" t="s">
        <v>672</v>
      </c>
      <c r="P216" s="416" t="s">
        <v>679</v>
      </c>
      <c r="Q216" s="416" t="s">
        <v>680</v>
      </c>
      <c r="R216" s="417">
        <v>42775</v>
      </c>
      <c r="S216" s="417">
        <v>42919</v>
      </c>
      <c r="T216" s="417">
        <v>42919</v>
      </c>
      <c r="U216" s="416">
        <v>0.56999999999999995</v>
      </c>
      <c r="V216" s="418">
        <v>50000</v>
      </c>
      <c r="W216" s="419">
        <v>49886000</v>
      </c>
      <c r="X216" s="416" t="s">
        <v>666</v>
      </c>
      <c r="Y216" s="416" t="s">
        <v>677</v>
      </c>
      <c r="Z216" s="416" t="s">
        <v>853</v>
      </c>
      <c r="AA216" s="416" t="s">
        <v>665</v>
      </c>
      <c r="AB216" s="416" t="s">
        <v>666</v>
      </c>
      <c r="AC216" s="416" t="s">
        <v>666</v>
      </c>
      <c r="AG216" s="53"/>
      <c r="AH216" s="54"/>
    </row>
    <row r="217" spans="1:39">
      <c r="A217" s="415">
        <v>3</v>
      </c>
      <c r="B217" s="415" t="s">
        <v>570</v>
      </c>
      <c r="C217" s="415">
        <v>65</v>
      </c>
      <c r="D217" s="415" t="s">
        <v>587</v>
      </c>
      <c r="E217" s="415">
        <v>65</v>
      </c>
      <c r="F217" s="415" t="s">
        <v>588</v>
      </c>
      <c r="G217" s="415">
        <v>15</v>
      </c>
      <c r="H217" s="415" t="s">
        <v>581</v>
      </c>
      <c r="I217" s="415" t="s">
        <v>589</v>
      </c>
      <c r="J217" s="415" t="s">
        <v>590</v>
      </c>
      <c r="K217" s="415">
        <v>17032122</v>
      </c>
      <c r="L217" s="41">
        <f>VLOOKUP(K217,WebPosting!$B$6:$B$561,1,FALSE)</f>
        <v>17032122</v>
      </c>
      <c r="M217" s="46">
        <f>(($V217*1000)*(IFERROR($T217-WebPosting!$K$1,"0")))</f>
        <v>2525000000</v>
      </c>
      <c r="N217" s="43">
        <f t="shared" si="3"/>
        <v>192500</v>
      </c>
      <c r="O217" s="416" t="s">
        <v>672</v>
      </c>
      <c r="P217" s="416" t="s">
        <v>838</v>
      </c>
      <c r="Q217" s="416" t="s">
        <v>839</v>
      </c>
      <c r="R217" s="417">
        <v>42815</v>
      </c>
      <c r="S217" s="417">
        <v>42926</v>
      </c>
      <c r="T217" s="417">
        <v>42926</v>
      </c>
      <c r="U217" s="416">
        <v>0.77</v>
      </c>
      <c r="V217" s="418">
        <v>25000</v>
      </c>
      <c r="W217" s="419">
        <v>24940645.829999998</v>
      </c>
      <c r="X217" s="416" t="s">
        <v>666</v>
      </c>
      <c r="Y217" s="416" t="s">
        <v>677</v>
      </c>
      <c r="Z217" s="416" t="s">
        <v>854</v>
      </c>
      <c r="AA217" s="416" t="s">
        <v>665</v>
      </c>
      <c r="AB217" s="416" t="s">
        <v>666</v>
      </c>
      <c r="AC217" s="416" t="s">
        <v>666</v>
      </c>
      <c r="AG217" s="53"/>
      <c r="AH217" s="54"/>
    </row>
    <row r="218" spans="1:39">
      <c r="A218" s="415">
        <v>3</v>
      </c>
      <c r="B218" s="415" t="s">
        <v>570</v>
      </c>
      <c r="C218" s="415">
        <v>67</v>
      </c>
      <c r="D218" s="415" t="s">
        <v>591</v>
      </c>
      <c r="E218" s="415">
        <v>10</v>
      </c>
      <c r="F218" s="415" t="s">
        <v>572</v>
      </c>
      <c r="G218" s="415">
        <v>15</v>
      </c>
      <c r="H218" s="415" t="s">
        <v>471</v>
      </c>
      <c r="I218" s="415" t="s">
        <v>436</v>
      </c>
      <c r="J218" s="415" t="s">
        <v>437</v>
      </c>
      <c r="K218" s="415">
        <v>17032116</v>
      </c>
      <c r="L218" s="41">
        <f>VLOOKUP(K218,WebPosting!$B$6:$B$561,1,FALSE)</f>
        <v>17032116</v>
      </c>
      <c r="M218" s="46">
        <f>(($V218*1000)*(IFERROR($T218-WebPosting!$K$1,"0")))</f>
        <v>12250000000</v>
      </c>
      <c r="N218" s="43">
        <f t="shared" si="3"/>
        <v>469999.99999999994</v>
      </c>
      <c r="O218" s="416" t="s">
        <v>672</v>
      </c>
      <c r="P218" s="416" t="s">
        <v>683</v>
      </c>
      <c r="Q218" s="416" t="s">
        <v>684</v>
      </c>
      <c r="R218" s="417">
        <v>42815</v>
      </c>
      <c r="S218" s="417">
        <v>43070</v>
      </c>
      <c r="T218" s="417">
        <v>43070</v>
      </c>
      <c r="U218" s="416">
        <v>0.94</v>
      </c>
      <c r="V218" s="418">
        <v>50000</v>
      </c>
      <c r="W218" s="419">
        <v>49667083.329999998</v>
      </c>
      <c r="X218" s="416" t="s">
        <v>666</v>
      </c>
      <c r="Y218" s="416" t="s">
        <v>677</v>
      </c>
      <c r="Z218" s="416" t="s">
        <v>855</v>
      </c>
      <c r="AA218" s="416" t="s">
        <v>665</v>
      </c>
      <c r="AB218" s="416" t="s">
        <v>666</v>
      </c>
      <c r="AC218" s="416" t="s">
        <v>666</v>
      </c>
      <c r="AG218" s="53"/>
      <c r="AH218" s="54"/>
    </row>
    <row r="219" spans="1:39">
      <c r="A219" s="415">
        <v>3</v>
      </c>
      <c r="B219" s="415" t="s">
        <v>570</v>
      </c>
      <c r="C219" s="415">
        <v>67</v>
      </c>
      <c r="D219" s="415" t="s">
        <v>591</v>
      </c>
      <c r="E219" s="415">
        <v>65</v>
      </c>
      <c r="F219" s="415" t="s">
        <v>541</v>
      </c>
      <c r="G219" s="415">
        <v>15</v>
      </c>
      <c r="H219" s="415" t="s">
        <v>581</v>
      </c>
      <c r="I219" s="415" t="s">
        <v>592</v>
      </c>
      <c r="J219" s="415" t="s">
        <v>593</v>
      </c>
      <c r="K219" s="415">
        <v>17032123</v>
      </c>
      <c r="L219" s="41">
        <f>VLOOKUP(K219,WebPosting!$B$6:$B$561,1,FALSE)</f>
        <v>17032123</v>
      </c>
      <c r="M219" s="46">
        <f>(($V219*1000)*(IFERROR($T219-WebPosting!$K$1,"0")))</f>
        <v>250000000</v>
      </c>
      <c r="N219" s="43">
        <f t="shared" si="3"/>
        <v>152500</v>
      </c>
      <c r="O219" s="416" t="s">
        <v>672</v>
      </c>
      <c r="P219" s="416" t="s">
        <v>838</v>
      </c>
      <c r="Q219" s="416" t="s">
        <v>839</v>
      </c>
      <c r="R219" s="417">
        <v>42815</v>
      </c>
      <c r="S219" s="417">
        <v>42835</v>
      </c>
      <c r="T219" s="417">
        <v>42835</v>
      </c>
      <c r="U219" s="416">
        <v>0.61</v>
      </c>
      <c r="V219" s="418">
        <v>25000</v>
      </c>
      <c r="W219" s="419">
        <v>24991527.780000001</v>
      </c>
      <c r="X219" s="416" t="s">
        <v>666</v>
      </c>
      <c r="Y219" s="416" t="s">
        <v>677</v>
      </c>
      <c r="Z219" s="416" t="s">
        <v>858</v>
      </c>
      <c r="AA219" s="416" t="s">
        <v>665</v>
      </c>
      <c r="AB219" s="416" t="s">
        <v>666</v>
      </c>
      <c r="AC219" s="416" t="s">
        <v>666</v>
      </c>
      <c r="AG219" s="53"/>
      <c r="AH219" s="54"/>
    </row>
    <row r="220" spans="1:39">
      <c r="A220" s="415">
        <v>3</v>
      </c>
      <c r="B220" s="415" t="s">
        <v>570</v>
      </c>
      <c r="C220" s="415">
        <v>67</v>
      </c>
      <c r="D220" s="415" t="s">
        <v>591</v>
      </c>
      <c r="E220" s="415">
        <v>65</v>
      </c>
      <c r="F220" s="415" t="s">
        <v>541</v>
      </c>
      <c r="G220" s="415">
        <v>15</v>
      </c>
      <c r="H220" s="415" t="s">
        <v>581</v>
      </c>
      <c r="I220" s="415" t="s">
        <v>592</v>
      </c>
      <c r="J220" s="415" t="s">
        <v>593</v>
      </c>
      <c r="K220" s="415">
        <v>16120714</v>
      </c>
      <c r="L220" s="41">
        <f>VLOOKUP(K220,WebPosting!$B$6:$B$561,1,FALSE)</f>
        <v>16120714</v>
      </c>
      <c r="M220" s="46">
        <f>(($V220*1000)*(IFERROR($T220-WebPosting!$K$1,"0")))</f>
        <v>1000000000</v>
      </c>
      <c r="N220" s="43">
        <f t="shared" si="3"/>
        <v>140000.00000000003</v>
      </c>
      <c r="O220" s="416" t="s">
        <v>672</v>
      </c>
      <c r="P220" s="416" t="s">
        <v>685</v>
      </c>
      <c r="Q220" s="416" t="s">
        <v>686</v>
      </c>
      <c r="R220" s="417">
        <v>42711</v>
      </c>
      <c r="S220" s="417">
        <v>42865</v>
      </c>
      <c r="T220" s="417">
        <v>42865</v>
      </c>
      <c r="U220" s="416">
        <v>0.56000000000000005</v>
      </c>
      <c r="V220" s="418">
        <v>25000</v>
      </c>
      <c r="W220" s="419">
        <v>24940111.109999999</v>
      </c>
      <c r="X220" s="416" t="s">
        <v>666</v>
      </c>
      <c r="Y220" s="416" t="s">
        <v>677</v>
      </c>
      <c r="Z220" s="416" t="s">
        <v>859</v>
      </c>
      <c r="AA220" s="416" t="s">
        <v>665</v>
      </c>
      <c r="AB220" s="416" t="s">
        <v>666</v>
      </c>
      <c r="AC220" s="416" t="s">
        <v>666</v>
      </c>
      <c r="AG220" s="53"/>
      <c r="AH220" s="54"/>
    </row>
    <row r="221" spans="1:39">
      <c r="A221" s="415">
        <v>3</v>
      </c>
      <c r="B221" s="415" t="s">
        <v>570</v>
      </c>
      <c r="C221" s="415">
        <v>67</v>
      </c>
      <c r="D221" s="415" t="s">
        <v>591</v>
      </c>
      <c r="E221" s="415">
        <v>65</v>
      </c>
      <c r="F221" s="415" t="s">
        <v>541</v>
      </c>
      <c r="G221" s="415">
        <v>15</v>
      </c>
      <c r="H221" s="415" t="s">
        <v>581</v>
      </c>
      <c r="I221" s="415" t="s">
        <v>592</v>
      </c>
      <c r="J221" s="415" t="s">
        <v>593</v>
      </c>
      <c r="K221" s="415">
        <v>17020120</v>
      </c>
      <c r="L221" s="41">
        <f>VLOOKUP(K221,WebPosting!$B$6:$B$561,1,FALSE)</f>
        <v>17020120</v>
      </c>
      <c r="M221" s="46">
        <f>(($V221*1000)*(IFERROR($T221-WebPosting!$K$1,"0")))</f>
        <v>3450000000</v>
      </c>
      <c r="N221" s="43">
        <f t="shared" si="3"/>
        <v>270000</v>
      </c>
      <c r="O221" s="416" t="s">
        <v>672</v>
      </c>
      <c r="P221" s="416" t="s">
        <v>844</v>
      </c>
      <c r="Q221" s="416" t="s">
        <v>845</v>
      </c>
      <c r="R221" s="417">
        <v>42767</v>
      </c>
      <c r="S221" s="417">
        <v>42894</v>
      </c>
      <c r="T221" s="417">
        <v>42894</v>
      </c>
      <c r="U221" s="416">
        <v>0.54</v>
      </c>
      <c r="V221" s="418">
        <v>50000</v>
      </c>
      <c r="W221" s="419">
        <v>49904750</v>
      </c>
      <c r="X221" s="416" t="s">
        <v>666</v>
      </c>
      <c r="Y221" s="416" t="s">
        <v>677</v>
      </c>
      <c r="Z221" s="416" t="s">
        <v>860</v>
      </c>
      <c r="AA221" s="416" t="s">
        <v>665</v>
      </c>
      <c r="AB221" s="416" t="s">
        <v>666</v>
      </c>
      <c r="AC221" s="416" t="s">
        <v>666</v>
      </c>
      <c r="AG221" s="53"/>
      <c r="AH221" s="54"/>
    </row>
    <row r="222" spans="1:39">
      <c r="A222" s="415">
        <v>3</v>
      </c>
      <c r="B222" s="415" t="s">
        <v>570</v>
      </c>
      <c r="C222" s="415">
        <v>69</v>
      </c>
      <c r="D222" s="415" t="s">
        <v>594</v>
      </c>
      <c r="E222" s="415">
        <v>10</v>
      </c>
      <c r="F222" s="415" t="s">
        <v>572</v>
      </c>
      <c r="G222" s="415">
        <v>15</v>
      </c>
      <c r="H222" s="415" t="s">
        <v>488</v>
      </c>
      <c r="I222" s="415" t="s">
        <v>595</v>
      </c>
      <c r="J222" s="415" t="s">
        <v>596</v>
      </c>
      <c r="K222" s="415">
        <v>16112101</v>
      </c>
      <c r="L222" s="41">
        <f>VLOOKUP(K222,WebPosting!$B$6:$B$561,1,FALSE)</f>
        <v>16112101</v>
      </c>
      <c r="M222" s="46">
        <f>(($V222*1000)*(IFERROR($T222-WebPosting!$K$1,"0")))</f>
        <v>5350000000</v>
      </c>
      <c r="N222" s="43">
        <f t="shared" si="3"/>
        <v>200000</v>
      </c>
      <c r="O222" s="416" t="s">
        <v>672</v>
      </c>
      <c r="P222" s="416" t="s">
        <v>838</v>
      </c>
      <c r="Q222" s="416" t="s">
        <v>839</v>
      </c>
      <c r="R222" s="417">
        <v>42695</v>
      </c>
      <c r="S222" s="417">
        <v>43039</v>
      </c>
      <c r="T222" s="417">
        <v>43039</v>
      </c>
      <c r="U222" s="416">
        <v>0.8</v>
      </c>
      <c r="V222" s="418">
        <v>25000</v>
      </c>
      <c r="W222" s="419">
        <v>24808888.890000001</v>
      </c>
      <c r="X222" s="416" t="s">
        <v>666</v>
      </c>
      <c r="Y222" s="416" t="s">
        <v>677</v>
      </c>
      <c r="Z222" s="416" t="s">
        <v>861</v>
      </c>
      <c r="AA222" s="416" t="s">
        <v>665</v>
      </c>
      <c r="AB222" s="416" t="s">
        <v>666</v>
      </c>
      <c r="AC222" s="416" t="s">
        <v>666</v>
      </c>
      <c r="AG222" s="53"/>
      <c r="AH222" s="54"/>
    </row>
    <row r="223" spans="1:39">
      <c r="A223" s="415">
        <v>3</v>
      </c>
      <c r="B223" s="415" t="s">
        <v>570</v>
      </c>
      <c r="C223" s="415">
        <v>69</v>
      </c>
      <c r="D223" s="415" t="s">
        <v>594</v>
      </c>
      <c r="E223" s="415">
        <v>10</v>
      </c>
      <c r="F223" s="415" t="s">
        <v>572</v>
      </c>
      <c r="G223" s="415">
        <v>15</v>
      </c>
      <c r="H223" s="415" t="s">
        <v>488</v>
      </c>
      <c r="I223" s="415" t="s">
        <v>595</v>
      </c>
      <c r="J223" s="415" t="s">
        <v>596</v>
      </c>
      <c r="K223" s="415">
        <v>16110215</v>
      </c>
      <c r="L223" s="41">
        <f>VLOOKUP(K223,WebPosting!$B$6:$B$561,1,FALSE)</f>
        <v>16110215</v>
      </c>
      <c r="M223" s="46">
        <f>(($V223*1000)*(IFERROR($T223-WebPosting!$K$1,"0")))</f>
        <v>5375000000</v>
      </c>
      <c r="N223" s="43">
        <f t="shared" si="3"/>
        <v>182500</v>
      </c>
      <c r="O223" s="416" t="s">
        <v>672</v>
      </c>
      <c r="P223" s="416" t="s">
        <v>862</v>
      </c>
      <c r="Q223" s="416" t="s">
        <v>863</v>
      </c>
      <c r="R223" s="417">
        <v>42676</v>
      </c>
      <c r="S223" s="417">
        <v>43040</v>
      </c>
      <c r="T223" s="417">
        <v>43040</v>
      </c>
      <c r="U223" s="416">
        <v>0.73</v>
      </c>
      <c r="V223" s="418">
        <v>25000</v>
      </c>
      <c r="W223" s="419">
        <v>24815472.219999999</v>
      </c>
      <c r="X223" s="416" t="s">
        <v>666</v>
      </c>
      <c r="Y223" s="416" t="s">
        <v>677</v>
      </c>
      <c r="Z223" s="416" t="s">
        <v>864</v>
      </c>
      <c r="AA223" s="416" t="s">
        <v>665</v>
      </c>
      <c r="AB223" s="416" t="s">
        <v>666</v>
      </c>
      <c r="AC223" s="416" t="s">
        <v>666</v>
      </c>
      <c r="AG223" s="53"/>
      <c r="AH223" s="54"/>
    </row>
    <row r="224" spans="1:39">
      <c r="A224" s="415">
        <v>3</v>
      </c>
      <c r="B224" s="415" t="s">
        <v>570</v>
      </c>
      <c r="C224" s="415">
        <v>69</v>
      </c>
      <c r="D224" s="415" t="s">
        <v>594</v>
      </c>
      <c r="E224" s="415">
        <v>10</v>
      </c>
      <c r="F224" s="415" t="s">
        <v>572</v>
      </c>
      <c r="G224" s="415">
        <v>15</v>
      </c>
      <c r="H224" s="415" t="s">
        <v>488</v>
      </c>
      <c r="I224" s="415" t="s">
        <v>595</v>
      </c>
      <c r="J224" s="415" t="s">
        <v>596</v>
      </c>
      <c r="K224" s="415">
        <v>16111511</v>
      </c>
      <c r="L224" s="41">
        <f>VLOOKUP(K224,WebPosting!$B$6:$B$561,1,FALSE)</f>
        <v>16111511</v>
      </c>
      <c r="M224" s="46">
        <f>(($V224*1000)*(IFERROR($T224-WebPosting!$K$1,"0")))</f>
        <v>11400000000</v>
      </c>
      <c r="N224" s="43">
        <f t="shared" si="3"/>
        <v>405000.00000000006</v>
      </c>
      <c r="O224" s="416" t="s">
        <v>672</v>
      </c>
      <c r="P224" s="416" t="s">
        <v>862</v>
      </c>
      <c r="Q224" s="416" t="s">
        <v>863</v>
      </c>
      <c r="R224" s="417">
        <v>42689</v>
      </c>
      <c r="S224" s="417">
        <v>43053</v>
      </c>
      <c r="T224" s="417">
        <v>43053</v>
      </c>
      <c r="U224" s="416">
        <v>0.81</v>
      </c>
      <c r="V224" s="418">
        <v>50000</v>
      </c>
      <c r="W224" s="419">
        <v>49590500</v>
      </c>
      <c r="X224" s="416" t="s">
        <v>666</v>
      </c>
      <c r="Y224" s="416" t="s">
        <v>677</v>
      </c>
      <c r="Z224" s="416" t="s">
        <v>865</v>
      </c>
      <c r="AA224" s="416" t="s">
        <v>665</v>
      </c>
      <c r="AB224" s="416" t="s">
        <v>666</v>
      </c>
      <c r="AC224" s="416" t="s">
        <v>666</v>
      </c>
      <c r="AG224" s="53"/>
      <c r="AH224" s="54"/>
      <c r="AL224" s="54"/>
      <c r="AM224" s="54"/>
    </row>
    <row r="225" spans="1:39">
      <c r="A225" s="415">
        <v>3</v>
      </c>
      <c r="B225" s="415" t="s">
        <v>570</v>
      </c>
      <c r="C225" s="415">
        <v>69</v>
      </c>
      <c r="D225" s="415" t="s">
        <v>594</v>
      </c>
      <c r="E225" s="415">
        <v>10</v>
      </c>
      <c r="F225" s="415" t="s">
        <v>572</v>
      </c>
      <c r="G225" s="415">
        <v>15</v>
      </c>
      <c r="H225" s="415" t="s">
        <v>488</v>
      </c>
      <c r="I225" s="415" t="s">
        <v>595</v>
      </c>
      <c r="J225" s="415" t="s">
        <v>596</v>
      </c>
      <c r="K225" s="415">
        <v>17010509</v>
      </c>
      <c r="L225" s="41">
        <f>VLOOKUP(K225,WebPosting!$B$6:$B$561,1,FALSE)</f>
        <v>17010509</v>
      </c>
      <c r="M225" s="46">
        <f>(($V225*1000)*(IFERROR($T225-WebPosting!$K$1,"0")))</f>
        <v>5817000000</v>
      </c>
      <c r="N225" s="43">
        <f t="shared" si="3"/>
        <v>197399.99999999997</v>
      </c>
      <c r="O225" s="416" t="s">
        <v>672</v>
      </c>
      <c r="P225" s="416" t="s">
        <v>838</v>
      </c>
      <c r="Q225" s="416" t="s">
        <v>839</v>
      </c>
      <c r="R225" s="417">
        <v>42740</v>
      </c>
      <c r="S225" s="417">
        <v>43102</v>
      </c>
      <c r="T225" s="417">
        <v>43102</v>
      </c>
      <c r="U225" s="416">
        <v>0.94</v>
      </c>
      <c r="V225" s="418">
        <v>21000</v>
      </c>
      <c r="W225" s="419">
        <v>20801503.329999998</v>
      </c>
      <c r="X225" s="416" t="s">
        <v>666</v>
      </c>
      <c r="Y225" s="416" t="s">
        <v>677</v>
      </c>
      <c r="Z225" s="416" t="s">
        <v>866</v>
      </c>
      <c r="AA225" s="416" t="s">
        <v>665</v>
      </c>
      <c r="AB225" s="416" t="s">
        <v>666</v>
      </c>
      <c r="AC225" s="416" t="s">
        <v>666</v>
      </c>
      <c r="AG225" s="53"/>
      <c r="AH225" s="54"/>
      <c r="AL225" s="54"/>
      <c r="AM225" s="54"/>
    </row>
    <row r="226" spans="1:39">
      <c r="A226" s="415">
        <v>4</v>
      </c>
      <c r="B226" s="415" t="s">
        <v>338</v>
      </c>
      <c r="C226" s="415">
        <v>70</v>
      </c>
      <c r="D226" s="415" t="s">
        <v>597</v>
      </c>
      <c r="E226" s="415">
        <v>10</v>
      </c>
      <c r="F226" s="415" t="s">
        <v>305</v>
      </c>
      <c r="G226" s="415">
        <v>15</v>
      </c>
      <c r="H226" s="415" t="s">
        <v>471</v>
      </c>
      <c r="I226" s="415" t="s">
        <v>568</v>
      </c>
      <c r="J226" s="415" t="s">
        <v>569</v>
      </c>
      <c r="K226" s="415">
        <v>16100618</v>
      </c>
      <c r="L226" s="41">
        <f>VLOOKUP(K226,WebPosting!$B$6:$B$561,1,FALSE)</f>
        <v>16100618</v>
      </c>
      <c r="M226" s="46">
        <f>(($V226*1000)*(IFERROR($T226-WebPosting!$K$1,"0")))</f>
        <v>1500000000</v>
      </c>
      <c r="N226" s="43">
        <f t="shared" si="3"/>
        <v>250000</v>
      </c>
      <c r="O226" s="416" t="s">
        <v>672</v>
      </c>
      <c r="P226" s="416" t="s">
        <v>675</v>
      </c>
      <c r="Q226" s="416" t="s">
        <v>676</v>
      </c>
      <c r="R226" s="417">
        <v>42649</v>
      </c>
      <c r="S226" s="417">
        <v>42855</v>
      </c>
      <c r="T226" s="417">
        <v>42855</v>
      </c>
      <c r="U226" s="416">
        <v>0.5</v>
      </c>
      <c r="V226" s="418">
        <v>50000</v>
      </c>
      <c r="W226" s="419">
        <v>50000000</v>
      </c>
      <c r="X226" s="416" t="s">
        <v>666</v>
      </c>
      <c r="Y226" s="416" t="s">
        <v>677</v>
      </c>
      <c r="Z226" s="416" t="s">
        <v>867</v>
      </c>
      <c r="AA226" s="419">
        <v>107145.08</v>
      </c>
      <c r="AB226" s="419">
        <v>49986710</v>
      </c>
      <c r="AC226" s="416" t="s">
        <v>666</v>
      </c>
      <c r="AG226" s="53"/>
      <c r="AH226" s="54"/>
      <c r="AL226" s="54"/>
      <c r="AM226" s="54"/>
    </row>
    <row r="227" spans="1:39">
      <c r="A227" s="415">
        <v>4</v>
      </c>
      <c r="B227" s="415" t="s">
        <v>338</v>
      </c>
      <c r="C227" s="415">
        <v>70</v>
      </c>
      <c r="D227" s="415" t="s">
        <v>597</v>
      </c>
      <c r="E227" s="415">
        <v>10</v>
      </c>
      <c r="F227" s="415" t="s">
        <v>305</v>
      </c>
      <c r="G227" s="415">
        <v>15</v>
      </c>
      <c r="H227" s="415" t="s">
        <v>471</v>
      </c>
      <c r="I227" s="415" t="s">
        <v>568</v>
      </c>
      <c r="J227" s="415" t="s">
        <v>569</v>
      </c>
      <c r="K227" s="415">
        <v>16100714</v>
      </c>
      <c r="L227" s="41">
        <f>VLOOKUP(K227,WebPosting!$B$6:$B$561,1,FALSE)</f>
        <v>16100714</v>
      </c>
      <c r="M227" s="46">
        <f>(($V227*1000)*(IFERROR($T227-WebPosting!$K$1,"0")))</f>
        <v>6100000000</v>
      </c>
      <c r="N227" s="43">
        <f t="shared" si="3"/>
        <v>312500</v>
      </c>
      <c r="O227" s="416" t="s">
        <v>672</v>
      </c>
      <c r="P227" s="416" t="s">
        <v>675</v>
      </c>
      <c r="Q227" s="416" t="s">
        <v>676</v>
      </c>
      <c r="R227" s="417">
        <v>42650</v>
      </c>
      <c r="S227" s="417">
        <v>42947</v>
      </c>
      <c r="T227" s="417">
        <v>42947</v>
      </c>
      <c r="U227" s="416">
        <v>0.625</v>
      </c>
      <c r="V227" s="418">
        <v>50000</v>
      </c>
      <c r="W227" s="419">
        <v>50000000</v>
      </c>
      <c r="X227" s="416" t="s">
        <v>666</v>
      </c>
      <c r="Y227" s="416" t="s">
        <v>677</v>
      </c>
      <c r="Z227" s="416" t="s">
        <v>868</v>
      </c>
      <c r="AA227" s="419">
        <v>50932.32</v>
      </c>
      <c r="AB227" s="419">
        <v>49971760</v>
      </c>
      <c r="AC227" s="416" t="s">
        <v>666</v>
      </c>
      <c r="AG227" s="53"/>
      <c r="AH227" s="54"/>
      <c r="AL227" s="54"/>
      <c r="AM227" s="54"/>
    </row>
    <row r="228" spans="1:39">
      <c r="A228" s="415">
        <v>4</v>
      </c>
      <c r="B228" s="415" t="s">
        <v>338</v>
      </c>
      <c r="C228" s="415">
        <v>70</v>
      </c>
      <c r="D228" s="415" t="s">
        <v>597</v>
      </c>
      <c r="E228" s="415">
        <v>10</v>
      </c>
      <c r="F228" s="415" t="s">
        <v>305</v>
      </c>
      <c r="G228" s="415">
        <v>15</v>
      </c>
      <c r="H228" s="415" t="s">
        <v>471</v>
      </c>
      <c r="I228" s="415" t="s">
        <v>568</v>
      </c>
      <c r="J228" s="415" t="s">
        <v>569</v>
      </c>
      <c r="K228" s="415">
        <v>17011307</v>
      </c>
      <c r="L228" s="41">
        <f>VLOOKUP(K228,WebPosting!$B$6:$B$561,1,FALSE)</f>
        <v>17011307</v>
      </c>
      <c r="M228" s="46">
        <f>(($V228*1000)*(IFERROR($T228-WebPosting!$K$1,"0")))</f>
        <v>6100000000</v>
      </c>
      <c r="N228" s="43">
        <f t="shared" si="3"/>
        <v>250000</v>
      </c>
      <c r="O228" s="416" t="s">
        <v>672</v>
      </c>
      <c r="P228" s="416" t="s">
        <v>675</v>
      </c>
      <c r="Q228" s="416" t="s">
        <v>676</v>
      </c>
      <c r="R228" s="417">
        <v>42748</v>
      </c>
      <c r="S228" s="417">
        <v>42947</v>
      </c>
      <c r="T228" s="417">
        <v>42947</v>
      </c>
      <c r="U228" s="416">
        <v>0.5</v>
      </c>
      <c r="V228" s="418">
        <v>50000</v>
      </c>
      <c r="W228" s="419">
        <v>50000000</v>
      </c>
      <c r="X228" s="416" t="s">
        <v>666</v>
      </c>
      <c r="Y228" s="416" t="s">
        <v>677</v>
      </c>
      <c r="Z228" s="416" t="s">
        <v>869</v>
      </c>
      <c r="AA228" s="419">
        <v>48157.919999999998</v>
      </c>
      <c r="AB228" s="419">
        <v>49948835</v>
      </c>
      <c r="AC228" s="416" t="s">
        <v>666</v>
      </c>
      <c r="AG228" s="53"/>
      <c r="AH228" s="54"/>
      <c r="AL228" s="54"/>
      <c r="AM228" s="54"/>
    </row>
    <row r="229" spans="1:39">
      <c r="A229" s="415">
        <v>4</v>
      </c>
      <c r="B229" s="415" t="s">
        <v>338</v>
      </c>
      <c r="C229" s="415">
        <v>70</v>
      </c>
      <c r="D229" s="415" t="s">
        <v>597</v>
      </c>
      <c r="E229" s="415">
        <v>10</v>
      </c>
      <c r="F229" s="415" t="s">
        <v>305</v>
      </c>
      <c r="G229" s="415">
        <v>15</v>
      </c>
      <c r="H229" s="415" t="s">
        <v>471</v>
      </c>
      <c r="I229" s="415" t="s">
        <v>568</v>
      </c>
      <c r="J229" s="415" t="s">
        <v>569</v>
      </c>
      <c r="K229" s="415">
        <v>16110105</v>
      </c>
      <c r="L229" s="41">
        <f>VLOOKUP(K229,WebPosting!$B$6:$B$561,1,FALSE)</f>
        <v>16110105</v>
      </c>
      <c r="M229" s="46">
        <f>(($V229*1000)*(IFERROR($T229-WebPosting!$K$1,"0")))</f>
        <v>7650000000</v>
      </c>
      <c r="N229" s="43">
        <f t="shared" si="3"/>
        <v>312500</v>
      </c>
      <c r="O229" s="416" t="s">
        <v>672</v>
      </c>
      <c r="P229" s="416" t="s">
        <v>675</v>
      </c>
      <c r="Q229" s="416" t="s">
        <v>676</v>
      </c>
      <c r="R229" s="417">
        <v>42675</v>
      </c>
      <c r="S229" s="417">
        <v>42978</v>
      </c>
      <c r="T229" s="417">
        <v>42978</v>
      </c>
      <c r="U229" s="416">
        <v>0.625</v>
      </c>
      <c r="V229" s="418">
        <v>50000</v>
      </c>
      <c r="W229" s="419">
        <v>50000000</v>
      </c>
      <c r="X229" s="416" t="s">
        <v>666</v>
      </c>
      <c r="Y229" s="416" t="s">
        <v>677</v>
      </c>
      <c r="Z229" s="416" t="s">
        <v>870</v>
      </c>
      <c r="AA229" s="419">
        <v>26924.2</v>
      </c>
      <c r="AB229" s="419">
        <v>49951930</v>
      </c>
      <c r="AC229" s="416" t="s">
        <v>666</v>
      </c>
      <c r="AG229" s="53"/>
      <c r="AH229" s="54"/>
      <c r="AL229" s="54"/>
      <c r="AM229" s="54"/>
    </row>
    <row r="230" spans="1:39">
      <c r="A230" s="415">
        <v>4</v>
      </c>
      <c r="B230" s="415" t="s">
        <v>338</v>
      </c>
      <c r="C230" s="415">
        <v>70</v>
      </c>
      <c r="D230" s="415" t="s">
        <v>597</v>
      </c>
      <c r="E230" s="415">
        <v>10</v>
      </c>
      <c r="F230" s="415" t="s">
        <v>305</v>
      </c>
      <c r="G230" s="415">
        <v>15</v>
      </c>
      <c r="H230" s="415" t="s">
        <v>471</v>
      </c>
      <c r="I230" s="415" t="s">
        <v>568</v>
      </c>
      <c r="J230" s="415" t="s">
        <v>569</v>
      </c>
      <c r="K230" s="415">
        <v>16120106</v>
      </c>
      <c r="L230" s="41">
        <f>VLOOKUP(K230,WebPosting!$B$6:$B$561,1,FALSE)</f>
        <v>16120106</v>
      </c>
      <c r="M230" s="46">
        <f>(($V230*1000)*(IFERROR($T230-WebPosting!$K$1,"0")))</f>
        <v>7650000000</v>
      </c>
      <c r="N230" s="43">
        <f t="shared" si="3"/>
        <v>312500</v>
      </c>
      <c r="O230" s="416" t="s">
        <v>672</v>
      </c>
      <c r="P230" s="416" t="s">
        <v>675</v>
      </c>
      <c r="Q230" s="416" t="s">
        <v>676</v>
      </c>
      <c r="R230" s="417">
        <v>42705</v>
      </c>
      <c r="S230" s="417">
        <v>42978</v>
      </c>
      <c r="T230" s="417">
        <v>42978</v>
      </c>
      <c r="U230" s="416">
        <v>0.625</v>
      </c>
      <c r="V230" s="418">
        <v>50000</v>
      </c>
      <c r="W230" s="419">
        <v>50000000</v>
      </c>
      <c r="X230" s="416" t="s">
        <v>666</v>
      </c>
      <c r="Y230" s="416" t="s">
        <v>677</v>
      </c>
      <c r="Z230" s="416" t="s">
        <v>870</v>
      </c>
      <c r="AA230" s="419">
        <v>31203.97</v>
      </c>
      <c r="AB230" s="419">
        <v>49951930</v>
      </c>
      <c r="AC230" s="416" t="s">
        <v>666</v>
      </c>
      <c r="AG230" s="53"/>
      <c r="AH230" s="54"/>
      <c r="AL230" s="54"/>
      <c r="AM230" s="54"/>
    </row>
    <row r="231" spans="1:39">
      <c r="A231" s="415">
        <v>4</v>
      </c>
      <c r="B231" s="415" t="s">
        <v>338</v>
      </c>
      <c r="C231" s="415">
        <v>70</v>
      </c>
      <c r="D231" s="415" t="s">
        <v>597</v>
      </c>
      <c r="E231" s="415">
        <v>10</v>
      </c>
      <c r="F231" s="415" t="s">
        <v>305</v>
      </c>
      <c r="G231" s="415">
        <v>15</v>
      </c>
      <c r="H231" s="415" t="s">
        <v>471</v>
      </c>
      <c r="I231" s="415" t="s">
        <v>568</v>
      </c>
      <c r="J231" s="415" t="s">
        <v>569</v>
      </c>
      <c r="K231" s="415">
        <v>16120616</v>
      </c>
      <c r="L231" s="41">
        <f>VLOOKUP(K231,WebPosting!$B$6:$B$561,1,FALSE)</f>
        <v>16120616</v>
      </c>
      <c r="M231" s="46">
        <f>(($V231*1000)*(IFERROR($T231-WebPosting!$K$1,"0")))</f>
        <v>9150000000</v>
      </c>
      <c r="N231" s="43">
        <f t="shared" si="3"/>
        <v>312500</v>
      </c>
      <c r="O231" s="416" t="s">
        <v>672</v>
      </c>
      <c r="P231" s="416" t="s">
        <v>675</v>
      </c>
      <c r="Q231" s="416" t="s">
        <v>676</v>
      </c>
      <c r="R231" s="417">
        <v>42710</v>
      </c>
      <c r="S231" s="417">
        <v>43008</v>
      </c>
      <c r="T231" s="417">
        <v>43008</v>
      </c>
      <c r="U231" s="416">
        <v>0.625</v>
      </c>
      <c r="V231" s="418">
        <v>50000</v>
      </c>
      <c r="W231" s="419">
        <v>50000000</v>
      </c>
      <c r="X231" s="416" t="s">
        <v>666</v>
      </c>
      <c r="Y231" s="416" t="s">
        <v>677</v>
      </c>
      <c r="Z231" s="416" t="s">
        <v>871</v>
      </c>
      <c r="AA231" s="419">
        <v>125863.41</v>
      </c>
      <c r="AB231" s="419">
        <v>49925970</v>
      </c>
      <c r="AC231" s="419">
        <v>57520.6</v>
      </c>
      <c r="AG231" s="53"/>
      <c r="AH231" s="54"/>
      <c r="AL231" s="54"/>
      <c r="AM231" s="54"/>
    </row>
    <row r="232" spans="1:39">
      <c r="A232" s="415">
        <v>4</v>
      </c>
      <c r="B232" s="415" t="s">
        <v>338</v>
      </c>
      <c r="C232" s="415">
        <v>70</v>
      </c>
      <c r="D232" s="415" t="s">
        <v>597</v>
      </c>
      <c r="E232" s="415">
        <v>10</v>
      </c>
      <c r="F232" s="415" t="s">
        <v>305</v>
      </c>
      <c r="G232" s="415">
        <v>15</v>
      </c>
      <c r="H232" s="415" t="s">
        <v>471</v>
      </c>
      <c r="I232" s="415" t="s">
        <v>568</v>
      </c>
      <c r="J232" s="415" t="s">
        <v>569</v>
      </c>
      <c r="K232" s="415">
        <v>16121604</v>
      </c>
      <c r="L232" s="41">
        <f>VLOOKUP(K232,WebPosting!$B$6:$B$561,1,FALSE)</f>
        <v>16121604</v>
      </c>
      <c r="M232" s="46">
        <f>(($V232*1000)*(IFERROR($T232-WebPosting!$K$1,"0")))</f>
        <v>9150000000</v>
      </c>
      <c r="N232" s="43">
        <f t="shared" si="3"/>
        <v>312500</v>
      </c>
      <c r="O232" s="416" t="s">
        <v>672</v>
      </c>
      <c r="P232" s="416" t="s">
        <v>675</v>
      </c>
      <c r="Q232" s="416" t="s">
        <v>676</v>
      </c>
      <c r="R232" s="417">
        <v>42720</v>
      </c>
      <c r="S232" s="417">
        <v>43008</v>
      </c>
      <c r="T232" s="417">
        <v>43008</v>
      </c>
      <c r="U232" s="416">
        <v>0.625</v>
      </c>
      <c r="V232" s="418">
        <v>50000</v>
      </c>
      <c r="W232" s="419">
        <v>50000000</v>
      </c>
      <c r="X232" s="416" t="s">
        <v>666</v>
      </c>
      <c r="Y232" s="416" t="s">
        <v>677</v>
      </c>
      <c r="Z232" s="416" t="s">
        <v>871</v>
      </c>
      <c r="AA232" s="419">
        <v>118946.31</v>
      </c>
      <c r="AB232" s="419">
        <v>49925970</v>
      </c>
      <c r="AC232" s="419">
        <v>66105.77</v>
      </c>
      <c r="AG232" s="53"/>
      <c r="AH232" s="54"/>
      <c r="AL232" s="54"/>
      <c r="AM232" s="54"/>
    </row>
    <row r="233" spans="1:39">
      <c r="A233" s="415">
        <v>4</v>
      </c>
      <c r="B233" s="415" t="s">
        <v>338</v>
      </c>
      <c r="C233" s="415">
        <v>70</v>
      </c>
      <c r="D233" s="415" t="s">
        <v>597</v>
      </c>
      <c r="E233" s="415">
        <v>10</v>
      </c>
      <c r="F233" s="415" t="s">
        <v>305</v>
      </c>
      <c r="G233" s="415">
        <v>15</v>
      </c>
      <c r="H233" s="415" t="s">
        <v>471</v>
      </c>
      <c r="I233" s="415" t="s">
        <v>568</v>
      </c>
      <c r="J233" s="415" t="s">
        <v>569</v>
      </c>
      <c r="K233" s="415">
        <v>17011311</v>
      </c>
      <c r="L233" s="41">
        <f>VLOOKUP(K233,WebPosting!$B$6:$B$561,1,FALSE)</f>
        <v>17011311</v>
      </c>
      <c r="M233" s="46">
        <f>(($V233*1000)*(IFERROR($T233-WebPosting!$K$1,"0")))</f>
        <v>9150000000</v>
      </c>
      <c r="N233" s="43">
        <f t="shared" si="3"/>
        <v>312500</v>
      </c>
      <c r="O233" s="416" t="s">
        <v>672</v>
      </c>
      <c r="P233" s="416" t="s">
        <v>675</v>
      </c>
      <c r="Q233" s="416" t="s">
        <v>676</v>
      </c>
      <c r="R233" s="417">
        <v>42748</v>
      </c>
      <c r="S233" s="417">
        <v>43008</v>
      </c>
      <c r="T233" s="417">
        <v>43008</v>
      </c>
      <c r="U233" s="416">
        <v>0.625</v>
      </c>
      <c r="V233" s="418">
        <v>50000</v>
      </c>
      <c r="W233" s="419">
        <v>50000000</v>
      </c>
      <c r="X233" s="416" t="s">
        <v>666</v>
      </c>
      <c r="Y233" s="416" t="s">
        <v>677</v>
      </c>
      <c r="Z233" s="416" t="s">
        <v>871</v>
      </c>
      <c r="AA233" s="419">
        <v>75138.47</v>
      </c>
      <c r="AB233" s="419">
        <v>49925970</v>
      </c>
      <c r="AC233" s="419">
        <v>90144.23</v>
      </c>
      <c r="AG233" s="53"/>
      <c r="AH233" s="54"/>
      <c r="AL233" s="54"/>
      <c r="AM233" s="54"/>
    </row>
    <row r="234" spans="1:39">
      <c r="A234" s="415">
        <v>4</v>
      </c>
      <c r="B234" s="415" t="s">
        <v>338</v>
      </c>
      <c r="C234" s="415">
        <v>70</v>
      </c>
      <c r="D234" s="415" t="s">
        <v>597</v>
      </c>
      <c r="E234" s="415">
        <v>10</v>
      </c>
      <c r="F234" s="415" t="s">
        <v>305</v>
      </c>
      <c r="G234" s="415">
        <v>15</v>
      </c>
      <c r="H234" s="415" t="s">
        <v>471</v>
      </c>
      <c r="I234" s="415" t="s">
        <v>568</v>
      </c>
      <c r="J234" s="415" t="s">
        <v>569</v>
      </c>
      <c r="K234" s="415">
        <v>17031609</v>
      </c>
      <c r="L234" s="41">
        <f>VLOOKUP(K234,WebPosting!$B$6:$B$561,1,FALSE)</f>
        <v>17031609</v>
      </c>
      <c r="M234" s="46">
        <f>(($V234*1000)*(IFERROR($T234-WebPosting!$K$1,"0")))</f>
        <v>9150000000</v>
      </c>
      <c r="N234" s="43">
        <f t="shared" si="3"/>
        <v>312500</v>
      </c>
      <c r="O234" s="416" t="s">
        <v>672</v>
      </c>
      <c r="P234" s="416" t="s">
        <v>675</v>
      </c>
      <c r="Q234" s="416" t="s">
        <v>676</v>
      </c>
      <c r="R234" s="417">
        <v>42810</v>
      </c>
      <c r="S234" s="417">
        <v>43008</v>
      </c>
      <c r="T234" s="417">
        <v>43008</v>
      </c>
      <c r="U234" s="416">
        <v>0.625</v>
      </c>
      <c r="V234" s="418">
        <v>50000</v>
      </c>
      <c r="W234" s="419">
        <v>50000000</v>
      </c>
      <c r="X234" s="416" t="s">
        <v>666</v>
      </c>
      <c r="Y234" s="416" t="s">
        <v>677</v>
      </c>
      <c r="Z234" s="416" t="s">
        <v>871</v>
      </c>
      <c r="AA234" s="419">
        <v>19101.240000000002</v>
      </c>
      <c r="AB234" s="419">
        <v>49925970</v>
      </c>
      <c r="AC234" s="419">
        <v>143372.25</v>
      </c>
      <c r="AG234" s="53"/>
      <c r="AH234" s="54"/>
      <c r="AL234" s="54"/>
      <c r="AM234" s="54"/>
    </row>
    <row r="235" spans="1:39">
      <c r="A235" s="415">
        <v>4</v>
      </c>
      <c r="B235" s="415" t="s">
        <v>338</v>
      </c>
      <c r="C235" s="415">
        <v>70</v>
      </c>
      <c r="D235" s="415" t="s">
        <v>597</v>
      </c>
      <c r="E235" s="415">
        <v>10</v>
      </c>
      <c r="F235" s="415" t="s">
        <v>305</v>
      </c>
      <c r="G235" s="415">
        <v>15</v>
      </c>
      <c r="H235" s="415" t="s">
        <v>471</v>
      </c>
      <c r="I235" s="415" t="s">
        <v>568</v>
      </c>
      <c r="J235" s="415" t="s">
        <v>569</v>
      </c>
      <c r="K235" s="415">
        <v>17032205</v>
      </c>
      <c r="L235" s="41">
        <f>VLOOKUP(K235,WebPosting!$B$6:$B$561,1,FALSE)</f>
        <v>17032205</v>
      </c>
      <c r="M235" s="46">
        <f>(($V235*1000)*(IFERROR($T235-WebPosting!$K$1,"0")))</f>
        <v>9150000000</v>
      </c>
      <c r="N235" s="43">
        <f t="shared" si="3"/>
        <v>312500</v>
      </c>
      <c r="O235" s="416" t="s">
        <v>672</v>
      </c>
      <c r="P235" s="416" t="s">
        <v>675</v>
      </c>
      <c r="Q235" s="416" t="s">
        <v>676</v>
      </c>
      <c r="R235" s="417">
        <v>42816</v>
      </c>
      <c r="S235" s="417">
        <v>43008</v>
      </c>
      <c r="T235" s="417">
        <v>43008</v>
      </c>
      <c r="U235" s="416">
        <v>0.625</v>
      </c>
      <c r="V235" s="418">
        <v>50000</v>
      </c>
      <c r="W235" s="419">
        <v>50000000</v>
      </c>
      <c r="X235" s="416" t="s">
        <v>666</v>
      </c>
      <c r="Y235" s="416" t="s">
        <v>677</v>
      </c>
      <c r="Z235" s="416" t="s">
        <v>871</v>
      </c>
      <c r="AA235" s="419">
        <v>10849.39</v>
      </c>
      <c r="AB235" s="419">
        <v>49925970</v>
      </c>
      <c r="AC235" s="419">
        <v>148523.35</v>
      </c>
      <c r="AG235" s="53"/>
      <c r="AH235" s="54"/>
      <c r="AL235" s="54"/>
      <c r="AM235" s="54"/>
    </row>
    <row r="236" spans="1:39">
      <c r="A236" s="415">
        <v>4</v>
      </c>
      <c r="B236" s="415" t="s">
        <v>338</v>
      </c>
      <c r="C236" s="415">
        <v>70</v>
      </c>
      <c r="D236" s="415" t="s">
        <v>597</v>
      </c>
      <c r="E236" s="415">
        <v>10</v>
      </c>
      <c r="F236" s="415" t="s">
        <v>305</v>
      </c>
      <c r="G236" s="415">
        <v>15</v>
      </c>
      <c r="H236" s="415" t="s">
        <v>471</v>
      </c>
      <c r="I236" s="415" t="s">
        <v>568</v>
      </c>
      <c r="J236" s="415" t="s">
        <v>569</v>
      </c>
      <c r="K236" s="415">
        <v>16121310</v>
      </c>
      <c r="L236" s="41">
        <f>VLOOKUP(K236,WebPosting!$B$6:$B$561,1,FALSE)</f>
        <v>16121310</v>
      </c>
      <c r="M236" s="46">
        <f>(($V236*1000)*(IFERROR($T236-WebPosting!$K$1,"0")))</f>
        <v>10700000000</v>
      </c>
      <c r="N236" s="43">
        <f t="shared" si="3"/>
        <v>375000</v>
      </c>
      <c r="O236" s="416" t="s">
        <v>672</v>
      </c>
      <c r="P236" s="416" t="s">
        <v>675</v>
      </c>
      <c r="Q236" s="416" t="s">
        <v>676</v>
      </c>
      <c r="R236" s="417">
        <v>42717</v>
      </c>
      <c r="S236" s="417">
        <v>43039</v>
      </c>
      <c r="T236" s="417">
        <v>43039</v>
      </c>
      <c r="U236" s="416">
        <v>0.75</v>
      </c>
      <c r="V236" s="418">
        <v>50000</v>
      </c>
      <c r="W236" s="419">
        <v>50000000</v>
      </c>
      <c r="X236" s="416" t="s">
        <v>666</v>
      </c>
      <c r="Y236" s="416" t="s">
        <v>677</v>
      </c>
      <c r="Z236" s="416" t="s">
        <v>872</v>
      </c>
      <c r="AA236" s="419">
        <v>128910.67</v>
      </c>
      <c r="AB236" s="419">
        <v>49943555</v>
      </c>
      <c r="AC236" s="416" t="s">
        <v>666</v>
      </c>
      <c r="AG236" s="53"/>
      <c r="AH236" s="54"/>
      <c r="AL236" s="54"/>
      <c r="AM236" s="54"/>
    </row>
    <row r="237" spans="1:39">
      <c r="A237" s="415">
        <v>4</v>
      </c>
      <c r="B237" s="415" t="s">
        <v>338</v>
      </c>
      <c r="C237" s="415">
        <v>70</v>
      </c>
      <c r="D237" s="415" t="s">
        <v>597</v>
      </c>
      <c r="E237" s="415">
        <v>10</v>
      </c>
      <c r="F237" s="415" t="s">
        <v>305</v>
      </c>
      <c r="G237" s="415">
        <v>15</v>
      </c>
      <c r="H237" s="415" t="s">
        <v>471</v>
      </c>
      <c r="I237" s="415" t="s">
        <v>568</v>
      </c>
      <c r="J237" s="415" t="s">
        <v>569</v>
      </c>
      <c r="K237" s="415">
        <v>16110414</v>
      </c>
      <c r="L237" s="41">
        <f>VLOOKUP(K237,WebPosting!$B$6:$B$561,1,FALSE)</f>
        <v>16110414</v>
      </c>
      <c r="M237" s="46">
        <f>(($V237*1000)*(IFERROR($T237-WebPosting!$K$1,"0")))</f>
        <v>12200000000</v>
      </c>
      <c r="N237" s="43">
        <f t="shared" si="3"/>
        <v>312500</v>
      </c>
      <c r="O237" s="416" t="s">
        <v>672</v>
      </c>
      <c r="P237" s="416" t="s">
        <v>675</v>
      </c>
      <c r="Q237" s="416" t="s">
        <v>676</v>
      </c>
      <c r="R237" s="417">
        <v>42678</v>
      </c>
      <c r="S237" s="417">
        <v>43069</v>
      </c>
      <c r="T237" s="417">
        <v>43069</v>
      </c>
      <c r="U237" s="416">
        <v>0.625</v>
      </c>
      <c r="V237" s="418">
        <v>50000</v>
      </c>
      <c r="W237" s="419">
        <v>50000000</v>
      </c>
      <c r="X237" s="416" t="s">
        <v>666</v>
      </c>
      <c r="Y237" s="416" t="s">
        <v>677</v>
      </c>
      <c r="Z237" s="416" t="s">
        <v>873</v>
      </c>
      <c r="AA237" s="419">
        <v>112956.89</v>
      </c>
      <c r="AB237" s="419">
        <v>49882295</v>
      </c>
      <c r="AC237" s="416" t="s">
        <v>666</v>
      </c>
      <c r="AG237" s="53"/>
      <c r="AH237" s="54"/>
      <c r="AL237" s="54"/>
      <c r="AM237" s="54"/>
    </row>
    <row r="238" spans="1:39">
      <c r="A238" s="415">
        <v>4</v>
      </c>
      <c r="B238" s="415" t="s">
        <v>338</v>
      </c>
      <c r="C238" s="415">
        <v>70</v>
      </c>
      <c r="D238" s="415" t="s">
        <v>597</v>
      </c>
      <c r="E238" s="415">
        <v>10</v>
      </c>
      <c r="F238" s="415" t="s">
        <v>305</v>
      </c>
      <c r="G238" s="415">
        <v>15</v>
      </c>
      <c r="H238" s="415" t="s">
        <v>471</v>
      </c>
      <c r="I238" s="415" t="s">
        <v>568</v>
      </c>
      <c r="J238" s="415" t="s">
        <v>569</v>
      </c>
      <c r="K238" s="415">
        <v>17013007</v>
      </c>
      <c r="L238" s="41">
        <f>VLOOKUP(K238,WebPosting!$B$6:$B$561,1,FALSE)</f>
        <v>17013007</v>
      </c>
      <c r="M238" s="46">
        <f>(($V238*1000)*(IFERROR($T238-WebPosting!$K$1,"0")))</f>
        <v>13750000000</v>
      </c>
      <c r="N238" s="43">
        <f t="shared" si="3"/>
        <v>375000</v>
      </c>
      <c r="O238" s="416" t="s">
        <v>672</v>
      </c>
      <c r="P238" s="416" t="s">
        <v>675</v>
      </c>
      <c r="Q238" s="416" t="s">
        <v>676</v>
      </c>
      <c r="R238" s="417">
        <v>42765</v>
      </c>
      <c r="S238" s="417">
        <v>43100</v>
      </c>
      <c r="T238" s="417">
        <v>43100</v>
      </c>
      <c r="U238" s="416">
        <v>0.75</v>
      </c>
      <c r="V238" s="418">
        <v>50000</v>
      </c>
      <c r="W238" s="419">
        <v>50000000</v>
      </c>
      <c r="X238" s="416" t="s">
        <v>666</v>
      </c>
      <c r="Y238" s="416" t="s">
        <v>677</v>
      </c>
      <c r="Z238" s="416" t="s">
        <v>874</v>
      </c>
      <c r="AA238" s="419">
        <v>68065.14</v>
      </c>
      <c r="AB238" s="419">
        <v>49901705</v>
      </c>
      <c r="AC238" s="416" t="s">
        <v>666</v>
      </c>
      <c r="AG238" s="53"/>
      <c r="AH238" s="54"/>
      <c r="AL238" s="54"/>
      <c r="AM238" s="54"/>
    </row>
    <row r="239" spans="1:39">
      <c r="A239" s="415">
        <v>4</v>
      </c>
      <c r="B239" s="415" t="s">
        <v>338</v>
      </c>
      <c r="C239" s="415">
        <v>70</v>
      </c>
      <c r="D239" s="415" t="s">
        <v>597</v>
      </c>
      <c r="E239" s="415">
        <v>10</v>
      </c>
      <c r="F239" s="415" t="s">
        <v>305</v>
      </c>
      <c r="G239" s="415">
        <v>15</v>
      </c>
      <c r="H239" s="415" t="s">
        <v>471</v>
      </c>
      <c r="I239" s="415" t="s">
        <v>568</v>
      </c>
      <c r="J239" s="415" t="s">
        <v>569</v>
      </c>
      <c r="K239" s="415">
        <v>17031610</v>
      </c>
      <c r="L239" s="41">
        <f>VLOOKUP(K239,WebPosting!$B$6:$B$561,1,FALSE)</f>
        <v>17031610</v>
      </c>
      <c r="M239" s="46">
        <f>(($V239*1000)*(IFERROR($T239-WebPosting!$K$1,"0")))</f>
        <v>13750000000</v>
      </c>
      <c r="N239" s="43">
        <f t="shared" si="3"/>
        <v>500000</v>
      </c>
      <c r="O239" s="416" t="s">
        <v>672</v>
      </c>
      <c r="P239" s="416" t="s">
        <v>675</v>
      </c>
      <c r="Q239" s="416" t="s">
        <v>676</v>
      </c>
      <c r="R239" s="417">
        <v>42810</v>
      </c>
      <c r="S239" s="417">
        <v>43100</v>
      </c>
      <c r="T239" s="417">
        <v>43100</v>
      </c>
      <c r="U239" s="416">
        <v>1</v>
      </c>
      <c r="V239" s="418">
        <v>50000</v>
      </c>
      <c r="W239" s="419">
        <v>50000000</v>
      </c>
      <c r="X239" s="416" t="s">
        <v>666</v>
      </c>
      <c r="Y239" s="416" t="s">
        <v>677</v>
      </c>
      <c r="Z239" s="416" t="s">
        <v>875</v>
      </c>
      <c r="AA239" s="419">
        <v>21744.7</v>
      </c>
      <c r="AB239" s="419">
        <v>49993070</v>
      </c>
      <c r="AC239" s="416" t="s">
        <v>666</v>
      </c>
      <c r="AG239" s="53"/>
      <c r="AH239" s="54"/>
      <c r="AL239" s="54"/>
      <c r="AM239" s="54"/>
    </row>
    <row r="240" spans="1:39">
      <c r="A240" s="415">
        <v>4</v>
      </c>
      <c r="B240" s="415" t="s">
        <v>338</v>
      </c>
      <c r="C240" s="415">
        <v>70</v>
      </c>
      <c r="D240" s="415" t="s">
        <v>597</v>
      </c>
      <c r="E240" s="415">
        <v>10</v>
      </c>
      <c r="F240" s="415" t="s">
        <v>305</v>
      </c>
      <c r="G240" s="415">
        <v>15</v>
      </c>
      <c r="H240" s="415" t="s">
        <v>471</v>
      </c>
      <c r="I240" s="415" t="s">
        <v>568</v>
      </c>
      <c r="J240" s="415" t="s">
        <v>569</v>
      </c>
      <c r="K240" s="415">
        <v>17032204</v>
      </c>
      <c r="L240" s="41">
        <f>VLOOKUP(K240,WebPosting!$B$6:$B$561,1,FALSE)</f>
        <v>17032204</v>
      </c>
      <c r="M240" s="46">
        <f>(($V240*1000)*(IFERROR($T240-WebPosting!$K$1,"0")))</f>
        <v>13750000000</v>
      </c>
      <c r="N240" s="43">
        <f t="shared" si="3"/>
        <v>375000</v>
      </c>
      <c r="O240" s="416" t="s">
        <v>672</v>
      </c>
      <c r="P240" s="416" t="s">
        <v>675</v>
      </c>
      <c r="Q240" s="416" t="s">
        <v>676</v>
      </c>
      <c r="R240" s="417">
        <v>42816</v>
      </c>
      <c r="S240" s="417">
        <v>43100</v>
      </c>
      <c r="T240" s="417">
        <v>43100</v>
      </c>
      <c r="U240" s="416">
        <v>0.75</v>
      </c>
      <c r="V240" s="418">
        <v>50000</v>
      </c>
      <c r="W240" s="419">
        <v>50000000</v>
      </c>
      <c r="X240" s="416" t="s">
        <v>666</v>
      </c>
      <c r="Y240" s="416" t="s">
        <v>677</v>
      </c>
      <c r="Z240" s="416" t="s">
        <v>874</v>
      </c>
      <c r="AA240" s="419">
        <v>12125.91</v>
      </c>
      <c r="AB240" s="419">
        <v>49901705</v>
      </c>
      <c r="AC240" s="416" t="s">
        <v>666</v>
      </c>
      <c r="AG240" s="53"/>
      <c r="AH240" s="54"/>
      <c r="AL240" s="54"/>
      <c r="AM240" s="54"/>
    </row>
    <row r="241" spans="1:39">
      <c r="A241" s="415">
        <v>4</v>
      </c>
      <c r="B241" s="415" t="s">
        <v>338</v>
      </c>
      <c r="C241" s="415">
        <v>70</v>
      </c>
      <c r="D241" s="415" t="s">
        <v>597</v>
      </c>
      <c r="E241" s="415">
        <v>10</v>
      </c>
      <c r="F241" s="415" t="s">
        <v>305</v>
      </c>
      <c r="G241" s="415">
        <v>15</v>
      </c>
      <c r="H241" s="415" t="s">
        <v>471</v>
      </c>
      <c r="I241" s="415" t="s">
        <v>568</v>
      </c>
      <c r="J241" s="415" t="s">
        <v>569</v>
      </c>
      <c r="K241" s="415">
        <v>17013006</v>
      </c>
      <c r="L241" s="41">
        <f>VLOOKUP(K241,WebPosting!$B$6:$B$561,1,FALSE)</f>
        <v>17013006</v>
      </c>
      <c r="M241" s="46">
        <f>(($V241*1000)*(IFERROR($T241-WebPosting!$K$1,"0")))</f>
        <v>15300000000</v>
      </c>
      <c r="N241" s="43">
        <f t="shared" si="3"/>
        <v>375000</v>
      </c>
      <c r="O241" s="416" t="s">
        <v>672</v>
      </c>
      <c r="P241" s="416" t="s">
        <v>675</v>
      </c>
      <c r="Q241" s="416" t="s">
        <v>676</v>
      </c>
      <c r="R241" s="417">
        <v>42765</v>
      </c>
      <c r="S241" s="417">
        <v>43131</v>
      </c>
      <c r="T241" s="417">
        <v>43131</v>
      </c>
      <c r="U241" s="416">
        <v>0.75</v>
      </c>
      <c r="V241" s="418">
        <v>50000</v>
      </c>
      <c r="W241" s="419">
        <v>50000000</v>
      </c>
      <c r="X241" s="416" t="s">
        <v>666</v>
      </c>
      <c r="Y241" s="416" t="s">
        <v>677</v>
      </c>
      <c r="Z241" s="416" t="s">
        <v>876</v>
      </c>
      <c r="AA241" s="419">
        <v>69469.05</v>
      </c>
      <c r="AB241" s="419">
        <v>49882835</v>
      </c>
      <c r="AC241" s="416" t="s">
        <v>666</v>
      </c>
      <c r="AG241" s="53"/>
      <c r="AH241" s="54"/>
      <c r="AL241" s="54"/>
      <c r="AM241" s="54"/>
    </row>
    <row r="242" spans="1:39">
      <c r="A242" s="415">
        <v>4</v>
      </c>
      <c r="B242" s="415" t="s">
        <v>338</v>
      </c>
      <c r="C242" s="415">
        <v>70</v>
      </c>
      <c r="D242" s="415" t="s">
        <v>597</v>
      </c>
      <c r="E242" s="415">
        <v>10</v>
      </c>
      <c r="F242" s="415" t="s">
        <v>305</v>
      </c>
      <c r="G242" s="415">
        <v>15</v>
      </c>
      <c r="H242" s="415" t="s">
        <v>471</v>
      </c>
      <c r="I242" s="415" t="s">
        <v>568</v>
      </c>
      <c r="J242" s="415" t="s">
        <v>569</v>
      </c>
      <c r="K242" s="415">
        <v>17033111</v>
      </c>
      <c r="L242" s="41">
        <f>VLOOKUP(K242,WebPosting!$B$6:$B$561,1,FALSE)</f>
        <v>17033111</v>
      </c>
      <c r="M242" s="46">
        <f>(($V242*1000)*(IFERROR($T242-WebPosting!$K$1,"0")))</f>
        <v>18250000000</v>
      </c>
      <c r="N242" s="43">
        <f t="shared" si="3"/>
        <v>375000</v>
      </c>
      <c r="O242" s="416" t="s">
        <v>672</v>
      </c>
      <c r="P242" s="416" t="s">
        <v>675</v>
      </c>
      <c r="Q242" s="416" t="s">
        <v>676</v>
      </c>
      <c r="R242" s="417">
        <v>42823</v>
      </c>
      <c r="S242" s="417">
        <v>43190</v>
      </c>
      <c r="T242" s="417">
        <v>43190</v>
      </c>
      <c r="U242" s="416">
        <v>0.75</v>
      </c>
      <c r="V242" s="418">
        <v>50000</v>
      </c>
      <c r="W242" s="419">
        <v>50000000</v>
      </c>
      <c r="X242" s="416" t="s">
        <v>666</v>
      </c>
      <c r="Y242" s="416" t="s">
        <v>677</v>
      </c>
      <c r="Z242" s="416" t="s">
        <v>1063</v>
      </c>
      <c r="AA242" s="419">
        <v>2916.63</v>
      </c>
      <c r="AB242" s="419">
        <v>49830670</v>
      </c>
      <c r="AC242" s="416" t="s">
        <v>666</v>
      </c>
      <c r="AG242" s="53"/>
      <c r="AH242" s="54"/>
      <c r="AL242" s="54"/>
      <c r="AM242" s="54"/>
    </row>
    <row r="243" spans="1:39">
      <c r="A243" s="415">
        <v>4</v>
      </c>
      <c r="B243" s="415" t="s">
        <v>338</v>
      </c>
      <c r="C243" s="415">
        <v>70</v>
      </c>
      <c r="D243" s="415" t="s">
        <v>597</v>
      </c>
      <c r="E243" s="415">
        <v>10</v>
      </c>
      <c r="F243" s="415" t="s">
        <v>305</v>
      </c>
      <c r="G243" s="415">
        <v>15</v>
      </c>
      <c r="H243" s="415" t="s">
        <v>471</v>
      </c>
      <c r="I243" s="415" t="s">
        <v>568</v>
      </c>
      <c r="J243" s="415" t="s">
        <v>569</v>
      </c>
      <c r="K243" s="415">
        <v>17033112</v>
      </c>
      <c r="L243" s="41">
        <f>VLOOKUP(K243,WebPosting!$B$6:$B$561,1,FALSE)</f>
        <v>17033112</v>
      </c>
      <c r="M243" s="46">
        <f>(($V243*1000)*(IFERROR($T243-WebPosting!$K$1,"0")))</f>
        <v>18250000000</v>
      </c>
      <c r="N243" s="43">
        <f t="shared" si="3"/>
        <v>437500.00000000006</v>
      </c>
      <c r="O243" s="416" t="s">
        <v>672</v>
      </c>
      <c r="P243" s="416" t="s">
        <v>675</v>
      </c>
      <c r="Q243" s="416" t="s">
        <v>676</v>
      </c>
      <c r="R243" s="417">
        <v>42824</v>
      </c>
      <c r="S243" s="417">
        <v>43190</v>
      </c>
      <c r="T243" s="417">
        <v>43190</v>
      </c>
      <c r="U243" s="416">
        <v>0.875</v>
      </c>
      <c r="V243" s="418">
        <v>50000</v>
      </c>
      <c r="W243" s="419">
        <v>50000000</v>
      </c>
      <c r="X243" s="416" t="s">
        <v>666</v>
      </c>
      <c r="Y243" s="416" t="s">
        <v>677</v>
      </c>
      <c r="Z243" s="416" t="s">
        <v>1056</v>
      </c>
      <c r="AA243" s="419">
        <v>1473.57</v>
      </c>
      <c r="AB243" s="419">
        <v>49893620</v>
      </c>
      <c r="AC243" s="416" t="s">
        <v>666</v>
      </c>
      <c r="AG243" s="53"/>
      <c r="AH243" s="54"/>
      <c r="AL243" s="54"/>
      <c r="AM243" s="54"/>
    </row>
    <row r="244" spans="1:39">
      <c r="A244" s="415">
        <v>4</v>
      </c>
      <c r="B244" s="415" t="s">
        <v>338</v>
      </c>
      <c r="C244" s="415">
        <v>70</v>
      </c>
      <c r="D244" s="415" t="s">
        <v>597</v>
      </c>
      <c r="E244" s="415">
        <v>10</v>
      </c>
      <c r="F244" s="415" t="s">
        <v>305</v>
      </c>
      <c r="G244" s="415">
        <v>15</v>
      </c>
      <c r="H244" s="415" t="s">
        <v>471</v>
      </c>
      <c r="I244" s="415" t="s">
        <v>568</v>
      </c>
      <c r="J244" s="415" t="s">
        <v>569</v>
      </c>
      <c r="K244" s="415">
        <v>17033113</v>
      </c>
      <c r="L244" s="41">
        <f>VLOOKUP(K244,WebPosting!$B$6:$B$561,1,FALSE)</f>
        <v>17033113</v>
      </c>
      <c r="M244" s="46">
        <f>(($V244*1000)*(IFERROR($T244-WebPosting!$K$1,"0")))</f>
        <v>18250000000</v>
      </c>
      <c r="N244" s="43">
        <f t="shared" si="3"/>
        <v>437500.00000000006</v>
      </c>
      <c r="O244" s="416" t="s">
        <v>672</v>
      </c>
      <c r="P244" s="416" t="s">
        <v>675</v>
      </c>
      <c r="Q244" s="416" t="s">
        <v>676</v>
      </c>
      <c r="R244" s="417">
        <v>42818</v>
      </c>
      <c r="S244" s="417">
        <v>43190</v>
      </c>
      <c r="T244" s="417">
        <v>43190</v>
      </c>
      <c r="U244" s="416">
        <v>0.875</v>
      </c>
      <c r="V244" s="418">
        <v>50000</v>
      </c>
      <c r="W244" s="419">
        <v>50000000</v>
      </c>
      <c r="X244" s="416" t="s">
        <v>666</v>
      </c>
      <c r="Y244" s="416" t="s">
        <v>677</v>
      </c>
      <c r="Z244" s="416" t="s">
        <v>1056</v>
      </c>
      <c r="AA244" s="419">
        <v>10050.23</v>
      </c>
      <c r="AB244" s="419">
        <v>49893620</v>
      </c>
      <c r="AC244" s="416" t="s">
        <v>666</v>
      </c>
      <c r="AG244" s="53"/>
      <c r="AH244" s="54"/>
      <c r="AL244" s="54"/>
      <c r="AM244" s="54"/>
    </row>
    <row r="245" spans="1:39">
      <c r="A245" s="415">
        <v>4</v>
      </c>
      <c r="B245" s="415" t="s">
        <v>338</v>
      </c>
      <c r="C245" s="415">
        <v>70</v>
      </c>
      <c r="D245" s="415" t="s">
        <v>597</v>
      </c>
      <c r="E245" s="415">
        <v>10</v>
      </c>
      <c r="F245" s="415" t="s">
        <v>305</v>
      </c>
      <c r="G245" s="415">
        <v>15</v>
      </c>
      <c r="H245" s="415" t="s">
        <v>471</v>
      </c>
      <c r="I245" s="415" t="s">
        <v>568</v>
      </c>
      <c r="J245" s="415" t="s">
        <v>569</v>
      </c>
      <c r="K245" s="415">
        <v>17033114</v>
      </c>
      <c r="L245" s="41">
        <f>VLOOKUP(K245,WebPosting!$B$6:$B$561,1,FALSE)</f>
        <v>17033114</v>
      </c>
      <c r="M245" s="46">
        <f>(($V245*1000)*(IFERROR($T245-WebPosting!$K$1,"0")))</f>
        <v>18250000000</v>
      </c>
      <c r="N245" s="43">
        <f t="shared" si="3"/>
        <v>437500.00000000006</v>
      </c>
      <c r="O245" s="416" t="s">
        <v>672</v>
      </c>
      <c r="P245" s="416" t="s">
        <v>675</v>
      </c>
      <c r="Q245" s="416" t="s">
        <v>676</v>
      </c>
      <c r="R245" s="417">
        <v>42821</v>
      </c>
      <c r="S245" s="417">
        <v>43190</v>
      </c>
      <c r="T245" s="417">
        <v>43190</v>
      </c>
      <c r="U245" s="416">
        <v>0.875</v>
      </c>
      <c r="V245" s="418">
        <v>50000</v>
      </c>
      <c r="W245" s="419">
        <v>50000000</v>
      </c>
      <c r="X245" s="416" t="s">
        <v>666</v>
      </c>
      <c r="Y245" s="416" t="s">
        <v>677</v>
      </c>
      <c r="Z245" s="416" t="s">
        <v>1056</v>
      </c>
      <c r="AA245" s="419">
        <v>5748.35</v>
      </c>
      <c r="AB245" s="419">
        <v>49893620</v>
      </c>
      <c r="AC245" s="416" t="s">
        <v>666</v>
      </c>
      <c r="AG245" s="53"/>
      <c r="AH245" s="54"/>
      <c r="AL245" s="54"/>
      <c r="AM245" s="54"/>
    </row>
    <row r="246" spans="1:39">
      <c r="A246" s="415">
        <v>4</v>
      </c>
      <c r="B246" s="415" t="s">
        <v>338</v>
      </c>
      <c r="C246" s="415">
        <v>70</v>
      </c>
      <c r="D246" s="415" t="s">
        <v>597</v>
      </c>
      <c r="E246" s="415">
        <v>10</v>
      </c>
      <c r="F246" s="415" t="s">
        <v>305</v>
      </c>
      <c r="G246" s="415">
        <v>15</v>
      </c>
      <c r="H246" s="415" t="s">
        <v>471</v>
      </c>
      <c r="I246" s="415" t="s">
        <v>568</v>
      </c>
      <c r="J246" s="415" t="s">
        <v>569</v>
      </c>
      <c r="K246" s="415">
        <v>14013101</v>
      </c>
      <c r="L246" s="41">
        <f>VLOOKUP(K246,WebPosting!$B$6:$B$561,1,FALSE)</f>
        <v>14013101</v>
      </c>
      <c r="M246" s="46">
        <f>(($V246*1000)*(IFERROR($T246-WebPosting!$K$1,"0")))</f>
        <v>16775000000</v>
      </c>
      <c r="N246" s="43">
        <f t="shared" si="3"/>
        <v>375000</v>
      </c>
      <c r="O246" s="416" t="s">
        <v>672</v>
      </c>
      <c r="P246" s="416" t="s">
        <v>877</v>
      </c>
      <c r="Q246" s="416" t="s">
        <v>878</v>
      </c>
      <c r="R246" s="417">
        <v>41670</v>
      </c>
      <c r="S246" s="417">
        <v>43496</v>
      </c>
      <c r="T246" s="417">
        <v>43496</v>
      </c>
      <c r="U246" s="416">
        <v>1.5</v>
      </c>
      <c r="V246" s="418">
        <v>25000</v>
      </c>
      <c r="W246" s="419">
        <v>25000000</v>
      </c>
      <c r="X246" s="416" t="s">
        <v>666</v>
      </c>
      <c r="Y246" s="416" t="s">
        <v>677</v>
      </c>
      <c r="Z246" s="416" t="s">
        <v>879</v>
      </c>
      <c r="AA246" s="419">
        <v>63827.66</v>
      </c>
      <c r="AB246" s="419">
        <v>25107945</v>
      </c>
      <c r="AC246" s="416" t="s">
        <v>666</v>
      </c>
      <c r="AG246" s="53"/>
      <c r="AH246" s="54"/>
      <c r="AL246" s="54"/>
      <c r="AM246" s="54"/>
    </row>
    <row r="247" spans="1:39">
      <c r="A247" s="415">
        <v>4</v>
      </c>
      <c r="B247" s="415" t="s">
        <v>338</v>
      </c>
      <c r="C247" s="415">
        <v>70</v>
      </c>
      <c r="D247" s="415" t="s">
        <v>597</v>
      </c>
      <c r="E247" s="415">
        <v>10</v>
      </c>
      <c r="F247" s="415" t="s">
        <v>305</v>
      </c>
      <c r="G247" s="415">
        <v>15</v>
      </c>
      <c r="H247" s="415" t="s">
        <v>471</v>
      </c>
      <c r="I247" s="415" t="s">
        <v>568</v>
      </c>
      <c r="J247" s="415" t="s">
        <v>569</v>
      </c>
      <c r="K247" s="415">
        <v>14030506</v>
      </c>
      <c r="L247" s="41">
        <f>VLOOKUP(K247,WebPosting!$B$6:$B$561,1,FALSE)</f>
        <v>14030506</v>
      </c>
      <c r="M247" s="46">
        <f>(($V247*1000)*(IFERROR($T247-WebPosting!$K$1,"0")))</f>
        <v>17475000000</v>
      </c>
      <c r="N247" s="43">
        <f t="shared" si="3"/>
        <v>375000</v>
      </c>
      <c r="O247" s="416" t="s">
        <v>672</v>
      </c>
      <c r="P247" s="416" t="s">
        <v>717</v>
      </c>
      <c r="Q247" s="416" t="s">
        <v>718</v>
      </c>
      <c r="R247" s="417">
        <v>41703</v>
      </c>
      <c r="S247" s="417">
        <v>43524</v>
      </c>
      <c r="T247" s="417">
        <v>43524</v>
      </c>
      <c r="U247" s="416">
        <v>1.5</v>
      </c>
      <c r="V247" s="418">
        <v>25000</v>
      </c>
      <c r="W247" s="419">
        <v>25000000</v>
      </c>
      <c r="X247" s="416" t="s">
        <v>666</v>
      </c>
      <c r="Y247" s="416" t="s">
        <v>677</v>
      </c>
      <c r="Z247" s="416" t="s">
        <v>880</v>
      </c>
      <c r="AA247" s="419">
        <v>32053.73</v>
      </c>
      <c r="AB247" s="419">
        <v>25105940</v>
      </c>
      <c r="AC247" s="416" t="s">
        <v>666</v>
      </c>
      <c r="AG247" s="53"/>
      <c r="AH247" s="54"/>
      <c r="AL247" s="54"/>
      <c r="AM247" s="54"/>
    </row>
    <row r="248" spans="1:39">
      <c r="A248" s="415">
        <v>2</v>
      </c>
      <c r="B248" s="415" t="s">
        <v>343</v>
      </c>
      <c r="C248" s="415">
        <v>75</v>
      </c>
      <c r="D248" s="415" t="s">
        <v>598</v>
      </c>
      <c r="E248" s="415">
        <v>10</v>
      </c>
      <c r="F248" s="415" t="s">
        <v>599</v>
      </c>
      <c r="G248" s="415">
        <v>90</v>
      </c>
      <c r="H248" s="415" t="s">
        <v>435</v>
      </c>
      <c r="I248" s="415" t="s">
        <v>595</v>
      </c>
      <c r="J248" s="415" t="s">
        <v>596</v>
      </c>
      <c r="K248" s="415">
        <v>16020822</v>
      </c>
      <c r="L248" s="41">
        <f>VLOOKUP(K248,WebPosting!$B$6:$B$561,1,FALSE)</f>
        <v>16020822</v>
      </c>
      <c r="M248" s="46">
        <f>(($V248*1000)*(IFERROR($T248-WebPosting!$K$1,"0")))</f>
        <v>0</v>
      </c>
      <c r="N248" s="43">
        <f t="shared" si="3"/>
        <v>46786.595129999994</v>
      </c>
      <c r="O248" s="416" t="s">
        <v>672</v>
      </c>
      <c r="P248" s="416" t="s">
        <v>699</v>
      </c>
      <c r="Q248" s="416" t="s">
        <v>700</v>
      </c>
      <c r="R248" s="417">
        <v>42401</v>
      </c>
      <c r="S248" s="416" t="s">
        <v>696</v>
      </c>
      <c r="T248" s="416" t="s">
        <v>696</v>
      </c>
      <c r="U248" s="416">
        <v>4.6553826E-2</v>
      </c>
      <c r="V248" s="418">
        <v>100500</v>
      </c>
      <c r="W248" s="419">
        <v>100500000</v>
      </c>
      <c r="X248" s="416" t="s">
        <v>666</v>
      </c>
      <c r="Y248" s="416" t="s">
        <v>663</v>
      </c>
      <c r="Z248" s="416" t="s">
        <v>664</v>
      </c>
      <c r="AA248" s="416" t="s">
        <v>665</v>
      </c>
      <c r="AB248" s="416" t="s">
        <v>666</v>
      </c>
      <c r="AC248" s="416" t="s">
        <v>666</v>
      </c>
      <c r="AG248" s="53"/>
      <c r="AH248" s="54"/>
      <c r="AL248" s="54"/>
      <c r="AM248" s="54"/>
    </row>
    <row r="249" spans="1:39">
      <c r="A249" s="415">
        <v>4</v>
      </c>
      <c r="B249" s="415" t="s">
        <v>338</v>
      </c>
      <c r="C249" s="415">
        <v>76</v>
      </c>
      <c r="D249" s="415" t="s">
        <v>600</v>
      </c>
      <c r="E249" s="415">
        <v>10</v>
      </c>
      <c r="F249" s="415" t="s">
        <v>572</v>
      </c>
      <c r="G249" s="415">
        <v>50</v>
      </c>
      <c r="H249" s="415" t="s">
        <v>601</v>
      </c>
      <c r="I249" s="415" t="s">
        <v>602</v>
      </c>
      <c r="J249" s="415" t="s">
        <v>603</v>
      </c>
      <c r="K249" s="415">
        <v>16052609</v>
      </c>
      <c r="L249" s="41">
        <f>VLOOKUP(K249,WebPosting!$B$6:$B$561,1,FALSE)</f>
        <v>16052609</v>
      </c>
      <c r="M249" s="46">
        <f>(($V249*1000)*(IFERROR($T249-WebPosting!$K$1,"0")))</f>
        <v>402300000</v>
      </c>
      <c r="N249" s="43">
        <f t="shared" si="3"/>
        <v>4800</v>
      </c>
      <c r="O249" s="416" t="s">
        <v>672</v>
      </c>
      <c r="P249" s="416" t="s">
        <v>675</v>
      </c>
      <c r="Q249" s="416" t="s">
        <v>676</v>
      </c>
      <c r="R249" s="417">
        <v>42516</v>
      </c>
      <c r="S249" s="417">
        <v>44166</v>
      </c>
      <c r="T249" s="417">
        <v>44166</v>
      </c>
      <c r="U249" s="416">
        <v>1.6</v>
      </c>
      <c r="V249" s="416">
        <v>300</v>
      </c>
      <c r="W249" s="419">
        <v>300000</v>
      </c>
      <c r="X249" s="416" t="s">
        <v>666</v>
      </c>
      <c r="Y249" s="416" t="s">
        <v>677</v>
      </c>
      <c r="Z249" s="416" t="s">
        <v>881</v>
      </c>
      <c r="AA249" s="419">
        <v>1586.67</v>
      </c>
      <c r="AB249" s="419">
        <v>293892</v>
      </c>
      <c r="AC249" s="416" t="s">
        <v>666</v>
      </c>
      <c r="AG249" s="53"/>
      <c r="AH249" s="54"/>
      <c r="AL249" s="54"/>
      <c r="AM249" s="54"/>
    </row>
    <row r="250" spans="1:39">
      <c r="A250" s="415">
        <v>4</v>
      </c>
      <c r="B250" s="415" t="s">
        <v>338</v>
      </c>
      <c r="C250" s="415">
        <v>76</v>
      </c>
      <c r="D250" s="415" t="s">
        <v>600</v>
      </c>
      <c r="E250" s="415">
        <v>10</v>
      </c>
      <c r="F250" s="415" t="s">
        <v>572</v>
      </c>
      <c r="G250" s="415">
        <v>51</v>
      </c>
      <c r="H250" s="415" t="s">
        <v>604</v>
      </c>
      <c r="I250" s="415" t="s">
        <v>602</v>
      </c>
      <c r="J250" s="415" t="s">
        <v>603</v>
      </c>
      <c r="K250" s="415">
        <v>16122210</v>
      </c>
      <c r="L250" s="41">
        <f>VLOOKUP(K250,WebPosting!$B$6:$B$561,1,FALSE)</f>
        <v>16122210</v>
      </c>
      <c r="M250" s="46">
        <f>(($V250*1000)*(IFERROR($T250-WebPosting!$K$1,"0")))</f>
        <v>147510000</v>
      </c>
      <c r="N250" s="43">
        <f t="shared" si="3"/>
        <v>2420.0000000000005</v>
      </c>
      <c r="O250" s="416" t="s">
        <v>672</v>
      </c>
      <c r="P250" s="416" t="s">
        <v>675</v>
      </c>
      <c r="Q250" s="416" t="s">
        <v>676</v>
      </c>
      <c r="R250" s="417">
        <v>42726</v>
      </c>
      <c r="S250" s="417">
        <v>44166</v>
      </c>
      <c r="T250" s="417">
        <v>44166</v>
      </c>
      <c r="U250" s="416">
        <v>2.2000000000000002</v>
      </c>
      <c r="V250" s="416">
        <v>110</v>
      </c>
      <c r="W250" s="419">
        <v>110000</v>
      </c>
      <c r="X250" s="416" t="s">
        <v>666</v>
      </c>
      <c r="Y250" s="416" t="s">
        <v>677</v>
      </c>
      <c r="Z250" s="416" t="s">
        <v>882</v>
      </c>
      <c r="AA250" s="416">
        <v>658.79</v>
      </c>
      <c r="AB250" s="419">
        <v>109920.8</v>
      </c>
      <c r="AC250" s="416" t="s">
        <v>666</v>
      </c>
      <c r="AG250" s="53"/>
      <c r="AH250" s="54"/>
      <c r="AL250" s="54"/>
      <c r="AM250" s="54"/>
    </row>
    <row r="251" spans="1:39">
      <c r="A251" s="415">
        <v>4</v>
      </c>
      <c r="B251" s="415" t="s">
        <v>338</v>
      </c>
      <c r="C251" s="415">
        <v>76</v>
      </c>
      <c r="D251" s="415" t="s">
        <v>600</v>
      </c>
      <c r="E251" s="415">
        <v>10</v>
      </c>
      <c r="F251" s="415" t="s">
        <v>572</v>
      </c>
      <c r="G251" s="415">
        <v>51</v>
      </c>
      <c r="H251" s="415" t="s">
        <v>604</v>
      </c>
      <c r="I251" s="415" t="s">
        <v>602</v>
      </c>
      <c r="J251" s="415" t="s">
        <v>603</v>
      </c>
      <c r="K251" s="415">
        <v>16122209</v>
      </c>
      <c r="L251" s="41">
        <f>VLOOKUP(K251,WebPosting!$B$6:$B$561,1,FALSE)</f>
        <v>16122209</v>
      </c>
      <c r="M251" s="46">
        <f>(($V251*1000)*(IFERROR($T251-WebPosting!$K$1,"0")))</f>
        <v>162070000</v>
      </c>
      <c r="N251" s="43">
        <f t="shared" si="3"/>
        <v>2280</v>
      </c>
      <c r="O251" s="416" t="s">
        <v>672</v>
      </c>
      <c r="P251" s="416" t="s">
        <v>675</v>
      </c>
      <c r="Q251" s="416" t="s">
        <v>676</v>
      </c>
      <c r="R251" s="417">
        <v>42726</v>
      </c>
      <c r="S251" s="417">
        <v>44531</v>
      </c>
      <c r="T251" s="417">
        <v>44531</v>
      </c>
      <c r="U251" s="416">
        <v>2.4</v>
      </c>
      <c r="V251" s="416">
        <v>95</v>
      </c>
      <c r="W251" s="419">
        <v>95000</v>
      </c>
      <c r="X251" s="416" t="s">
        <v>666</v>
      </c>
      <c r="Y251" s="416" t="s">
        <v>677</v>
      </c>
      <c r="Z251" s="416" t="s">
        <v>883</v>
      </c>
      <c r="AA251" s="416">
        <v>620.66999999999996</v>
      </c>
      <c r="AB251" s="419">
        <v>94790.05</v>
      </c>
      <c r="AC251" s="416" t="s">
        <v>666</v>
      </c>
      <c r="AG251" s="53"/>
      <c r="AH251" s="54"/>
      <c r="AL251" s="54"/>
      <c r="AM251" s="54"/>
    </row>
    <row r="252" spans="1:39">
      <c r="A252" s="415">
        <v>4</v>
      </c>
      <c r="B252" s="415" t="s">
        <v>338</v>
      </c>
      <c r="C252" s="415">
        <v>77</v>
      </c>
      <c r="D252" s="415" t="s">
        <v>605</v>
      </c>
      <c r="E252" s="415">
        <v>10</v>
      </c>
      <c r="F252" s="415" t="s">
        <v>572</v>
      </c>
      <c r="G252" s="415">
        <v>60</v>
      </c>
      <c r="H252" s="415" t="s">
        <v>606</v>
      </c>
      <c r="I252" s="415" t="s">
        <v>607</v>
      </c>
      <c r="J252" s="415" t="s">
        <v>608</v>
      </c>
      <c r="K252" s="415">
        <v>16111812</v>
      </c>
      <c r="L252" s="41">
        <f>VLOOKUP(K252,WebPosting!$B$6:$B$561,1,FALSE)</f>
        <v>16111812</v>
      </c>
      <c r="M252" s="46">
        <f>(($V252*1000)*(IFERROR($T252-WebPosting!$K$1,"0")))</f>
        <v>1537500000</v>
      </c>
      <c r="N252" s="43">
        <f t="shared" si="3"/>
        <v>40625</v>
      </c>
      <c r="O252" s="416" t="s">
        <v>672</v>
      </c>
      <c r="P252" s="416" t="s">
        <v>884</v>
      </c>
      <c r="Q252" s="416" t="s">
        <v>885</v>
      </c>
      <c r="R252" s="417">
        <v>42692</v>
      </c>
      <c r="S252" s="417">
        <v>43440</v>
      </c>
      <c r="T252" s="417">
        <v>43440</v>
      </c>
      <c r="U252" s="416">
        <v>1.625</v>
      </c>
      <c r="V252" s="418">
        <v>2500</v>
      </c>
      <c r="W252" s="419">
        <v>2500000</v>
      </c>
      <c r="X252" s="416" t="s">
        <v>666</v>
      </c>
      <c r="Y252" s="416" t="s">
        <v>677</v>
      </c>
      <c r="Z252" s="416" t="s">
        <v>886</v>
      </c>
      <c r="AA252" s="419">
        <v>9528</v>
      </c>
      <c r="AB252" s="419">
        <v>2509275</v>
      </c>
      <c r="AC252" s="416" t="s">
        <v>666</v>
      </c>
      <c r="AG252" s="53"/>
      <c r="AH252" s="54"/>
      <c r="AL252" s="54"/>
      <c r="AM252" s="54"/>
    </row>
    <row r="253" spans="1:39">
      <c r="A253" s="415">
        <v>4</v>
      </c>
      <c r="B253" s="415" t="s">
        <v>338</v>
      </c>
      <c r="C253" s="415">
        <v>77</v>
      </c>
      <c r="D253" s="415" t="s">
        <v>605</v>
      </c>
      <c r="E253" s="415">
        <v>10</v>
      </c>
      <c r="F253" s="415" t="s">
        <v>572</v>
      </c>
      <c r="G253" s="415">
        <v>60</v>
      </c>
      <c r="H253" s="415" t="s">
        <v>606</v>
      </c>
      <c r="I253" s="415" t="s">
        <v>607</v>
      </c>
      <c r="J253" s="415" t="s">
        <v>608</v>
      </c>
      <c r="K253" s="415">
        <v>17020611</v>
      </c>
      <c r="L253" s="41">
        <f>VLOOKUP(K253,WebPosting!$B$6:$B$561,1,FALSE)</f>
        <v>17020611</v>
      </c>
      <c r="M253" s="46">
        <f>(($V253*1000)*(IFERROR($T253-WebPosting!$K$1,"0")))</f>
        <v>2084000000</v>
      </c>
      <c r="N253" s="43">
        <f t="shared" si="3"/>
        <v>37000.000000000007</v>
      </c>
      <c r="O253" s="416" t="s">
        <v>672</v>
      </c>
      <c r="P253" s="416" t="s">
        <v>838</v>
      </c>
      <c r="Q253" s="416" t="s">
        <v>839</v>
      </c>
      <c r="R253" s="417">
        <v>42772</v>
      </c>
      <c r="S253" s="417">
        <v>43867</v>
      </c>
      <c r="T253" s="417">
        <v>43867</v>
      </c>
      <c r="U253" s="416">
        <v>1.85</v>
      </c>
      <c r="V253" s="418">
        <v>2000</v>
      </c>
      <c r="W253" s="419">
        <v>2000000</v>
      </c>
      <c r="X253" s="416" t="s">
        <v>666</v>
      </c>
      <c r="Y253" s="416" t="s">
        <v>677</v>
      </c>
      <c r="Z253" s="416" t="s">
        <v>887</v>
      </c>
      <c r="AA253" s="419">
        <v>5617</v>
      </c>
      <c r="AB253" s="419">
        <v>2003260</v>
      </c>
      <c r="AC253" s="416" t="s">
        <v>666</v>
      </c>
      <c r="AG253" s="53"/>
      <c r="AH253" s="54"/>
      <c r="AL253" s="54"/>
      <c r="AM253" s="54"/>
    </row>
    <row r="254" spans="1:39">
      <c r="A254" s="415">
        <v>4</v>
      </c>
      <c r="B254" s="415" t="s">
        <v>338</v>
      </c>
      <c r="C254" s="415">
        <v>77</v>
      </c>
      <c r="D254" s="415" t="s">
        <v>605</v>
      </c>
      <c r="E254" s="415">
        <v>10</v>
      </c>
      <c r="F254" s="415" t="s">
        <v>572</v>
      </c>
      <c r="G254" s="415">
        <v>60</v>
      </c>
      <c r="H254" s="415" t="s">
        <v>606</v>
      </c>
      <c r="I254" s="415" t="s">
        <v>607</v>
      </c>
      <c r="J254" s="415" t="s">
        <v>608</v>
      </c>
      <c r="K254" s="415">
        <v>17020612</v>
      </c>
      <c r="L254" s="41">
        <f>VLOOKUP(K254,WebPosting!$B$6:$B$561,1,FALSE)</f>
        <v>17020612</v>
      </c>
      <c r="M254" s="46">
        <f>(($V254*1000)*(IFERROR($T254-WebPosting!$K$1,"0")))</f>
        <v>1042000000</v>
      </c>
      <c r="N254" s="43">
        <f t="shared" si="3"/>
        <v>18500.000000000004</v>
      </c>
      <c r="O254" s="416" t="s">
        <v>672</v>
      </c>
      <c r="P254" s="416" t="s">
        <v>847</v>
      </c>
      <c r="Q254" s="416" t="s">
        <v>848</v>
      </c>
      <c r="R254" s="417">
        <v>42772</v>
      </c>
      <c r="S254" s="417">
        <v>43867</v>
      </c>
      <c r="T254" s="417">
        <v>43867</v>
      </c>
      <c r="U254" s="416">
        <v>1.85</v>
      </c>
      <c r="V254" s="418">
        <v>1000</v>
      </c>
      <c r="W254" s="419">
        <v>1000000</v>
      </c>
      <c r="X254" s="416" t="s">
        <v>666</v>
      </c>
      <c r="Y254" s="416" t="s">
        <v>677</v>
      </c>
      <c r="Z254" s="416" t="s">
        <v>887</v>
      </c>
      <c r="AA254" s="419">
        <v>2808.5</v>
      </c>
      <c r="AB254" s="419">
        <v>1001630</v>
      </c>
      <c r="AC254" s="416" t="s">
        <v>666</v>
      </c>
      <c r="AG254" s="53"/>
      <c r="AH254" s="54"/>
      <c r="AL254" s="54"/>
      <c r="AM254" s="54"/>
    </row>
    <row r="255" spans="1:39">
      <c r="A255" s="415">
        <v>4</v>
      </c>
      <c r="B255" s="415" t="s">
        <v>338</v>
      </c>
      <c r="C255" s="415">
        <v>77</v>
      </c>
      <c r="D255" s="415" t="s">
        <v>605</v>
      </c>
      <c r="E255" s="415">
        <v>10</v>
      </c>
      <c r="F255" s="415" t="s">
        <v>572</v>
      </c>
      <c r="G255" s="415">
        <v>60</v>
      </c>
      <c r="H255" s="415" t="s">
        <v>606</v>
      </c>
      <c r="I255" s="415" t="s">
        <v>607</v>
      </c>
      <c r="J255" s="415" t="s">
        <v>608</v>
      </c>
      <c r="K255" s="415">
        <v>16111811</v>
      </c>
      <c r="L255" s="41">
        <f>VLOOKUP(K255,WebPosting!$B$6:$B$561,1,FALSE)</f>
        <v>16111811</v>
      </c>
      <c r="M255" s="46">
        <f>(($V255*1000)*(IFERROR($T255-WebPosting!$K$1,"0")))</f>
        <v>3977500000</v>
      </c>
      <c r="N255" s="43">
        <f t="shared" si="3"/>
        <v>38750</v>
      </c>
      <c r="O255" s="416" t="s">
        <v>672</v>
      </c>
      <c r="P255" s="416" t="s">
        <v>884</v>
      </c>
      <c r="Q255" s="416" t="s">
        <v>885</v>
      </c>
      <c r="R255" s="417">
        <v>42692</v>
      </c>
      <c r="S255" s="417">
        <v>44416</v>
      </c>
      <c r="T255" s="417">
        <v>44416</v>
      </c>
      <c r="U255" s="416">
        <v>1.55</v>
      </c>
      <c r="V255" s="418">
        <v>2500</v>
      </c>
      <c r="W255" s="419">
        <v>2500000</v>
      </c>
      <c r="X255" s="416" t="s">
        <v>666</v>
      </c>
      <c r="Y255" s="416" t="s">
        <v>677</v>
      </c>
      <c r="Z255" s="416" t="s">
        <v>888</v>
      </c>
      <c r="AA255" s="419">
        <v>7357.58</v>
      </c>
      <c r="AB255" s="419">
        <v>2429300</v>
      </c>
      <c r="AC255" s="416" t="s">
        <v>666</v>
      </c>
      <c r="AG255" s="53"/>
      <c r="AH255" s="54"/>
      <c r="AL255" s="54"/>
      <c r="AM255" s="54"/>
    </row>
    <row r="256" spans="1:39">
      <c r="A256" s="415">
        <v>4</v>
      </c>
      <c r="B256" s="415" t="s">
        <v>338</v>
      </c>
      <c r="C256" s="415">
        <v>77</v>
      </c>
      <c r="D256" s="415" t="s">
        <v>605</v>
      </c>
      <c r="E256" s="415">
        <v>10</v>
      </c>
      <c r="F256" s="415" t="s">
        <v>572</v>
      </c>
      <c r="G256" s="415">
        <v>61</v>
      </c>
      <c r="H256" s="415" t="s">
        <v>609</v>
      </c>
      <c r="I256" s="415" t="s">
        <v>607</v>
      </c>
      <c r="J256" s="415" t="s">
        <v>608</v>
      </c>
      <c r="K256" s="415">
        <v>17020901</v>
      </c>
      <c r="L256" s="41">
        <f>VLOOKUP(K256,WebPosting!$B$6:$B$561,1,FALSE)</f>
        <v>17020901</v>
      </c>
      <c r="M256" s="46">
        <f>(($V256*1000)*(IFERROR($T256-WebPosting!$K$1,"0")))</f>
        <v>1697500000</v>
      </c>
      <c r="N256" s="43">
        <f t="shared" si="3"/>
        <v>38750</v>
      </c>
      <c r="O256" s="416" t="s">
        <v>672</v>
      </c>
      <c r="P256" s="416" t="s">
        <v>679</v>
      </c>
      <c r="Q256" s="416" t="s">
        <v>680</v>
      </c>
      <c r="R256" s="417">
        <v>42775</v>
      </c>
      <c r="S256" s="417">
        <v>43504</v>
      </c>
      <c r="T256" s="417">
        <v>43504</v>
      </c>
      <c r="U256" s="416">
        <v>1.55</v>
      </c>
      <c r="V256" s="418">
        <v>2500</v>
      </c>
      <c r="W256" s="419">
        <v>2500000</v>
      </c>
      <c r="X256" s="416" t="s">
        <v>666</v>
      </c>
      <c r="Y256" s="416" t="s">
        <v>677</v>
      </c>
      <c r="Z256" s="416" t="s">
        <v>889</v>
      </c>
      <c r="AA256" s="419">
        <v>5624.36</v>
      </c>
      <c r="AB256" s="419">
        <v>2501875</v>
      </c>
      <c r="AC256" s="416" t="s">
        <v>666</v>
      </c>
      <c r="AG256" s="53"/>
      <c r="AH256" s="54"/>
      <c r="AL256" s="54"/>
      <c r="AM256" s="54"/>
    </row>
    <row r="257" spans="1:39">
      <c r="A257" s="415">
        <v>4</v>
      </c>
      <c r="B257" s="415" t="s">
        <v>338</v>
      </c>
      <c r="C257" s="415">
        <v>77</v>
      </c>
      <c r="D257" s="415" t="s">
        <v>605</v>
      </c>
      <c r="E257" s="415">
        <v>10</v>
      </c>
      <c r="F257" s="415" t="s">
        <v>572</v>
      </c>
      <c r="G257" s="415">
        <v>61</v>
      </c>
      <c r="H257" s="415" t="s">
        <v>609</v>
      </c>
      <c r="I257" s="415" t="s">
        <v>607</v>
      </c>
      <c r="J257" s="415" t="s">
        <v>608</v>
      </c>
      <c r="K257" s="415">
        <v>16122010</v>
      </c>
      <c r="L257" s="41">
        <f>VLOOKUP(K257,WebPosting!$B$6:$B$561,1,FALSE)</f>
        <v>16122010</v>
      </c>
      <c r="M257" s="46">
        <f>(($V257*1000)*(IFERROR($T257-WebPosting!$K$1,"0")))</f>
        <v>1732500000</v>
      </c>
      <c r="N257" s="43">
        <f t="shared" si="3"/>
        <v>42500</v>
      </c>
      <c r="O257" s="416" t="s">
        <v>672</v>
      </c>
      <c r="P257" s="416" t="s">
        <v>838</v>
      </c>
      <c r="Q257" s="416" t="s">
        <v>839</v>
      </c>
      <c r="R257" s="417">
        <v>42724</v>
      </c>
      <c r="S257" s="417">
        <v>43518</v>
      </c>
      <c r="T257" s="417">
        <v>43518</v>
      </c>
      <c r="U257" s="416">
        <v>1.7</v>
      </c>
      <c r="V257" s="418">
        <v>2500</v>
      </c>
      <c r="W257" s="419">
        <v>2500000</v>
      </c>
      <c r="X257" s="416" t="s">
        <v>666</v>
      </c>
      <c r="Y257" s="416" t="s">
        <v>677</v>
      </c>
      <c r="Z257" s="416" t="s">
        <v>890</v>
      </c>
      <c r="AA257" s="419">
        <v>4427.21</v>
      </c>
      <c r="AB257" s="419">
        <v>2507050</v>
      </c>
      <c r="AC257" s="416" t="s">
        <v>666</v>
      </c>
      <c r="AG257" s="53"/>
      <c r="AH257" s="54"/>
      <c r="AL257" s="54"/>
      <c r="AM257" s="54"/>
    </row>
    <row r="258" spans="1:39">
      <c r="A258" s="415">
        <v>4</v>
      </c>
      <c r="B258" s="415" t="s">
        <v>338</v>
      </c>
      <c r="C258" s="415">
        <v>77</v>
      </c>
      <c r="D258" s="415" t="s">
        <v>605</v>
      </c>
      <c r="E258" s="415">
        <v>10</v>
      </c>
      <c r="F258" s="415" t="s">
        <v>572</v>
      </c>
      <c r="G258" s="415">
        <v>61</v>
      </c>
      <c r="H258" s="415" t="s">
        <v>609</v>
      </c>
      <c r="I258" s="415" t="s">
        <v>607</v>
      </c>
      <c r="J258" s="415" t="s">
        <v>608</v>
      </c>
      <c r="K258" s="415">
        <v>17020902</v>
      </c>
      <c r="L258" s="41">
        <f>VLOOKUP(K258,WebPosting!$B$6:$B$561,1,FALSE)</f>
        <v>17020902</v>
      </c>
      <c r="M258" s="46">
        <f>(($V258*1000)*(IFERROR($T258-WebPosting!$K$1,"0")))</f>
        <v>2607500000</v>
      </c>
      <c r="N258" s="43">
        <f t="shared" si="3"/>
        <v>47500</v>
      </c>
      <c r="O258" s="416" t="s">
        <v>672</v>
      </c>
      <c r="P258" s="416" t="s">
        <v>679</v>
      </c>
      <c r="Q258" s="416" t="s">
        <v>680</v>
      </c>
      <c r="R258" s="417">
        <v>42775</v>
      </c>
      <c r="S258" s="417">
        <v>43868</v>
      </c>
      <c r="T258" s="417">
        <v>43868</v>
      </c>
      <c r="U258" s="416">
        <v>1.9</v>
      </c>
      <c r="V258" s="418">
        <v>2500</v>
      </c>
      <c r="W258" s="419">
        <v>2500000</v>
      </c>
      <c r="X258" s="416" t="s">
        <v>666</v>
      </c>
      <c r="Y258" s="416" t="s">
        <v>677</v>
      </c>
      <c r="Z258" s="416" t="s">
        <v>891</v>
      </c>
      <c r="AA258" s="419">
        <v>6787.11</v>
      </c>
      <c r="AB258" s="419">
        <v>2505050</v>
      </c>
      <c r="AC258" s="416" t="s">
        <v>666</v>
      </c>
      <c r="AG258" s="53"/>
      <c r="AH258" s="54"/>
      <c r="AL258" s="54"/>
      <c r="AM258" s="54"/>
    </row>
    <row r="259" spans="1:39">
      <c r="A259" s="415">
        <v>4</v>
      </c>
      <c r="B259" s="415" t="s">
        <v>338</v>
      </c>
      <c r="C259" s="415">
        <v>77</v>
      </c>
      <c r="D259" s="415" t="s">
        <v>605</v>
      </c>
      <c r="E259" s="415">
        <v>10</v>
      </c>
      <c r="F259" s="415" t="s">
        <v>572</v>
      </c>
      <c r="G259" s="415">
        <v>61</v>
      </c>
      <c r="H259" s="415" t="s">
        <v>609</v>
      </c>
      <c r="I259" s="415" t="s">
        <v>607</v>
      </c>
      <c r="J259" s="415" t="s">
        <v>608</v>
      </c>
      <c r="K259" s="415">
        <v>16122009</v>
      </c>
      <c r="L259" s="41">
        <f>VLOOKUP(K259,WebPosting!$B$6:$B$561,1,FALSE)</f>
        <v>16122009</v>
      </c>
      <c r="M259" s="46">
        <f>(($V259*1000)*(IFERROR($T259-WebPosting!$K$1,"0")))</f>
        <v>3967500000</v>
      </c>
      <c r="N259" s="43">
        <f t="shared" ref="N259:N322" si="4">($U259%*($V259*1000))</f>
        <v>38750</v>
      </c>
      <c r="O259" s="416" t="s">
        <v>672</v>
      </c>
      <c r="P259" s="416" t="s">
        <v>838</v>
      </c>
      <c r="Q259" s="416" t="s">
        <v>839</v>
      </c>
      <c r="R259" s="417">
        <v>42724</v>
      </c>
      <c r="S259" s="417">
        <v>44412</v>
      </c>
      <c r="T259" s="417">
        <v>44412</v>
      </c>
      <c r="U259" s="416">
        <v>1.55</v>
      </c>
      <c r="V259" s="418">
        <v>2500</v>
      </c>
      <c r="W259" s="419">
        <v>2500000</v>
      </c>
      <c r="X259" s="416" t="s">
        <v>666</v>
      </c>
      <c r="Y259" s="416" t="s">
        <v>677</v>
      </c>
      <c r="Z259" s="416" t="s">
        <v>892</v>
      </c>
      <c r="AA259" s="419">
        <v>9468.89</v>
      </c>
      <c r="AB259" s="419">
        <v>2419900</v>
      </c>
      <c r="AC259" s="416" t="s">
        <v>666</v>
      </c>
      <c r="AG259" s="53"/>
      <c r="AH259" s="54"/>
      <c r="AL259" s="54"/>
      <c r="AM259" s="54"/>
    </row>
    <row r="260" spans="1:39">
      <c r="A260" s="415">
        <v>4</v>
      </c>
      <c r="B260" s="415" t="s">
        <v>338</v>
      </c>
      <c r="C260" s="415">
        <v>77</v>
      </c>
      <c r="D260" s="415" t="s">
        <v>605</v>
      </c>
      <c r="E260" s="415">
        <v>10</v>
      </c>
      <c r="F260" s="415" t="s">
        <v>572</v>
      </c>
      <c r="G260" s="415">
        <v>62</v>
      </c>
      <c r="H260" s="415" t="s">
        <v>610</v>
      </c>
      <c r="I260" s="415" t="s">
        <v>607</v>
      </c>
      <c r="J260" s="415" t="s">
        <v>608</v>
      </c>
      <c r="K260" s="415">
        <v>17012303</v>
      </c>
      <c r="L260" s="41">
        <f>VLOOKUP(K260,WebPosting!$B$6:$B$561,1,FALSE)</f>
        <v>17012303</v>
      </c>
      <c r="M260" s="46">
        <f>(($V260*1000)*(IFERROR($T260-WebPosting!$K$1,"0")))</f>
        <v>1750000000</v>
      </c>
      <c r="N260" s="43">
        <f t="shared" si="4"/>
        <v>42699.999999999993</v>
      </c>
      <c r="O260" s="416" t="s">
        <v>672</v>
      </c>
      <c r="P260" s="416" t="s">
        <v>821</v>
      </c>
      <c r="Q260" s="416" t="s">
        <v>822</v>
      </c>
      <c r="R260" s="417">
        <v>42758</v>
      </c>
      <c r="S260" s="417">
        <v>43525</v>
      </c>
      <c r="T260" s="417">
        <v>43525</v>
      </c>
      <c r="U260" s="416">
        <v>1.708</v>
      </c>
      <c r="V260" s="418">
        <v>2500</v>
      </c>
      <c r="W260" s="419">
        <v>2500000</v>
      </c>
      <c r="X260" s="416" t="s">
        <v>666</v>
      </c>
      <c r="Y260" s="416" t="s">
        <v>677</v>
      </c>
      <c r="Z260" s="416" t="s">
        <v>893</v>
      </c>
      <c r="AA260" s="419">
        <v>3075.31</v>
      </c>
      <c r="AB260" s="419">
        <v>2502350</v>
      </c>
      <c r="AC260" s="416" t="s">
        <v>666</v>
      </c>
      <c r="AG260" s="53"/>
      <c r="AH260" s="54"/>
      <c r="AL260" s="54"/>
      <c r="AM260" s="54"/>
    </row>
    <row r="261" spans="1:39">
      <c r="A261" s="415">
        <v>4</v>
      </c>
      <c r="B261" s="415" t="s">
        <v>338</v>
      </c>
      <c r="C261" s="415">
        <v>77</v>
      </c>
      <c r="D261" s="415" t="s">
        <v>605</v>
      </c>
      <c r="E261" s="415">
        <v>10</v>
      </c>
      <c r="F261" s="415" t="s">
        <v>572</v>
      </c>
      <c r="G261" s="415">
        <v>62</v>
      </c>
      <c r="H261" s="415" t="s">
        <v>610</v>
      </c>
      <c r="I261" s="415" t="s">
        <v>607</v>
      </c>
      <c r="J261" s="415" t="s">
        <v>608</v>
      </c>
      <c r="K261" s="415">
        <v>17012301</v>
      </c>
      <c r="L261" s="41">
        <f>VLOOKUP(K261,WebPosting!$B$6:$B$561,1,FALSE)</f>
        <v>17012301</v>
      </c>
      <c r="M261" s="46">
        <f>(($V261*1000)*(IFERROR($T261-WebPosting!$K$1,"0")))</f>
        <v>1785000000</v>
      </c>
      <c r="N261" s="43">
        <f t="shared" si="4"/>
        <v>45474.999999999993</v>
      </c>
      <c r="O261" s="416" t="s">
        <v>672</v>
      </c>
      <c r="P261" s="416" t="s">
        <v>821</v>
      </c>
      <c r="Q261" s="416" t="s">
        <v>822</v>
      </c>
      <c r="R261" s="417">
        <v>42758</v>
      </c>
      <c r="S261" s="417">
        <v>43539</v>
      </c>
      <c r="T261" s="417">
        <v>43539</v>
      </c>
      <c r="U261" s="416">
        <v>1.819</v>
      </c>
      <c r="V261" s="418">
        <v>2500</v>
      </c>
      <c r="W261" s="419">
        <v>2500000</v>
      </c>
      <c r="X261" s="416" t="s">
        <v>666</v>
      </c>
      <c r="Y261" s="416" t="s">
        <v>677</v>
      </c>
      <c r="Z261" s="416" t="s">
        <v>894</v>
      </c>
      <c r="AA261" s="419">
        <v>1645.6</v>
      </c>
      <c r="AB261" s="419">
        <v>2507875</v>
      </c>
      <c r="AC261" s="416" t="s">
        <v>666</v>
      </c>
      <c r="AG261" s="53"/>
      <c r="AH261" s="54"/>
      <c r="AL261" s="54"/>
      <c r="AM261" s="54"/>
    </row>
    <row r="262" spans="1:39">
      <c r="A262" s="415">
        <v>4</v>
      </c>
      <c r="B262" s="415" t="s">
        <v>338</v>
      </c>
      <c r="C262" s="415">
        <v>77</v>
      </c>
      <c r="D262" s="415" t="s">
        <v>605</v>
      </c>
      <c r="E262" s="415">
        <v>10</v>
      </c>
      <c r="F262" s="415" t="s">
        <v>572</v>
      </c>
      <c r="G262" s="415">
        <v>63</v>
      </c>
      <c r="H262" s="415" t="s">
        <v>611</v>
      </c>
      <c r="I262" s="415" t="s">
        <v>607</v>
      </c>
      <c r="J262" s="415" t="s">
        <v>608</v>
      </c>
      <c r="K262" s="415">
        <v>17030610</v>
      </c>
      <c r="L262" s="41">
        <f>VLOOKUP(K262,WebPosting!$B$6:$B$561,1,FALSE)</f>
        <v>17030610</v>
      </c>
      <c r="M262" s="46">
        <f>(($V262*1000)*(IFERROR($T262-WebPosting!$K$1,"0")))</f>
        <v>4495000000</v>
      </c>
      <c r="N262" s="43">
        <f t="shared" si="4"/>
        <v>56250</v>
      </c>
      <c r="O262" s="416" t="s">
        <v>672</v>
      </c>
      <c r="P262" s="416" t="s">
        <v>683</v>
      </c>
      <c r="Q262" s="416" t="s">
        <v>684</v>
      </c>
      <c r="R262" s="417">
        <v>42800</v>
      </c>
      <c r="S262" s="417">
        <v>44623</v>
      </c>
      <c r="T262" s="417">
        <v>44623</v>
      </c>
      <c r="U262" s="416">
        <v>2.25</v>
      </c>
      <c r="V262" s="418">
        <v>2500</v>
      </c>
      <c r="W262" s="419">
        <v>2500000</v>
      </c>
      <c r="X262" s="416" t="s">
        <v>666</v>
      </c>
      <c r="Y262" s="416" t="s">
        <v>677</v>
      </c>
      <c r="Z262" s="416" t="s">
        <v>895</v>
      </c>
      <c r="AA262" s="419">
        <v>3808.1</v>
      </c>
      <c r="AB262" s="419">
        <v>2495850</v>
      </c>
      <c r="AC262" s="416" t="s">
        <v>666</v>
      </c>
      <c r="AG262" s="53"/>
      <c r="AH262" s="54"/>
      <c r="AL262" s="54"/>
      <c r="AM262" s="54"/>
    </row>
    <row r="263" spans="1:39">
      <c r="A263" s="415">
        <v>4</v>
      </c>
      <c r="B263" s="415" t="s">
        <v>338</v>
      </c>
      <c r="C263" s="415">
        <v>84</v>
      </c>
      <c r="D263" s="415" t="s">
        <v>612</v>
      </c>
      <c r="E263" s="415">
        <v>10</v>
      </c>
      <c r="F263" s="415" t="s">
        <v>305</v>
      </c>
      <c r="G263" s="415">
        <v>15</v>
      </c>
      <c r="H263" s="415" t="s">
        <v>471</v>
      </c>
      <c r="I263" s="415" t="s">
        <v>445</v>
      </c>
      <c r="J263" s="415" t="s">
        <v>446</v>
      </c>
      <c r="K263" s="415">
        <v>13052813</v>
      </c>
      <c r="L263" s="41">
        <f>VLOOKUP(K263,WebPosting!$B$6:$B$561,1,FALSE)</f>
        <v>13052813</v>
      </c>
      <c r="M263" s="46">
        <f>(($V263*1000)*(IFERROR($T263-WebPosting!$K$1,"0")))</f>
        <v>3750000000</v>
      </c>
      <c r="N263" s="43">
        <f t="shared" si="4"/>
        <v>187500</v>
      </c>
      <c r="O263" s="416" t="s">
        <v>672</v>
      </c>
      <c r="P263" s="416" t="s">
        <v>896</v>
      </c>
      <c r="Q263" s="416" t="s">
        <v>897</v>
      </c>
      <c r="R263" s="417">
        <v>41422</v>
      </c>
      <c r="S263" s="417">
        <v>42975</v>
      </c>
      <c r="T263" s="417">
        <v>42975</v>
      </c>
      <c r="U263" s="416">
        <v>0.75</v>
      </c>
      <c r="V263" s="418">
        <v>25000</v>
      </c>
      <c r="W263" s="419">
        <v>25000000</v>
      </c>
      <c r="X263" s="416" t="s">
        <v>666</v>
      </c>
      <c r="Y263" s="416" t="s">
        <v>677</v>
      </c>
      <c r="Z263" s="416" t="s">
        <v>898</v>
      </c>
      <c r="AA263" s="419">
        <v>16666.669999999998</v>
      </c>
      <c r="AB263" s="419">
        <v>24948750</v>
      </c>
      <c r="AC263" s="416" t="s">
        <v>666</v>
      </c>
      <c r="AG263" s="53"/>
      <c r="AH263" s="54"/>
      <c r="AL263" s="54"/>
      <c r="AM263" s="54"/>
    </row>
    <row r="264" spans="1:39">
      <c r="A264" s="415">
        <v>4</v>
      </c>
      <c r="B264" s="415" t="s">
        <v>338</v>
      </c>
      <c r="C264" s="415">
        <v>84</v>
      </c>
      <c r="D264" s="415" t="s">
        <v>612</v>
      </c>
      <c r="E264" s="415">
        <v>10</v>
      </c>
      <c r="F264" s="415" t="s">
        <v>305</v>
      </c>
      <c r="G264" s="415">
        <v>15</v>
      </c>
      <c r="H264" s="415" t="s">
        <v>471</v>
      </c>
      <c r="I264" s="415" t="s">
        <v>445</v>
      </c>
      <c r="J264" s="415" t="s">
        <v>446</v>
      </c>
      <c r="K264" s="415">
        <v>13060310</v>
      </c>
      <c r="L264" s="41">
        <f>VLOOKUP(K264,WebPosting!$B$6:$B$561,1,FALSE)</f>
        <v>13060310</v>
      </c>
      <c r="M264" s="46">
        <f>(($V264*1000)*(IFERROR($T264-WebPosting!$K$1,"0")))</f>
        <v>9875000000</v>
      </c>
      <c r="N264" s="43">
        <f t="shared" si="4"/>
        <v>250000</v>
      </c>
      <c r="O264" s="416" t="s">
        <v>672</v>
      </c>
      <c r="P264" s="416" t="s">
        <v>699</v>
      </c>
      <c r="Q264" s="416" t="s">
        <v>700</v>
      </c>
      <c r="R264" s="417">
        <v>41428</v>
      </c>
      <c r="S264" s="417">
        <v>43220</v>
      </c>
      <c r="T264" s="417">
        <v>43220</v>
      </c>
      <c r="U264" s="416">
        <v>1</v>
      </c>
      <c r="V264" s="418">
        <v>25000</v>
      </c>
      <c r="W264" s="419">
        <v>25000000</v>
      </c>
      <c r="X264" s="416" t="s">
        <v>666</v>
      </c>
      <c r="Y264" s="416" t="s">
        <v>677</v>
      </c>
      <c r="Z264" s="416" t="s">
        <v>899</v>
      </c>
      <c r="AA264" s="419">
        <v>125389.05</v>
      </c>
      <c r="AB264" s="419">
        <v>24941500</v>
      </c>
      <c r="AC264" s="416" t="s">
        <v>666</v>
      </c>
      <c r="AG264" s="53"/>
      <c r="AH264" s="54"/>
      <c r="AL264" s="54"/>
      <c r="AM264" s="54"/>
    </row>
    <row r="265" spans="1:39">
      <c r="A265" s="415">
        <v>4</v>
      </c>
      <c r="B265" s="415" t="s">
        <v>338</v>
      </c>
      <c r="C265" s="415">
        <v>84</v>
      </c>
      <c r="D265" s="415" t="s">
        <v>612</v>
      </c>
      <c r="E265" s="415">
        <v>10</v>
      </c>
      <c r="F265" s="415" t="s">
        <v>305</v>
      </c>
      <c r="G265" s="415">
        <v>15</v>
      </c>
      <c r="H265" s="415" t="s">
        <v>471</v>
      </c>
      <c r="I265" s="415" t="s">
        <v>445</v>
      </c>
      <c r="J265" s="415" t="s">
        <v>446</v>
      </c>
      <c r="K265" s="415">
        <v>13052119</v>
      </c>
      <c r="L265" s="41">
        <f>VLOOKUP(K265,WebPosting!$B$6:$B$561,1,FALSE)</f>
        <v>13052119</v>
      </c>
      <c r="M265" s="46">
        <f>(($V265*1000)*(IFERROR($T265-WebPosting!$K$1,"0")))</f>
        <v>10400000000</v>
      </c>
      <c r="N265" s="43">
        <f t="shared" si="4"/>
        <v>257500</v>
      </c>
      <c r="O265" s="416" t="s">
        <v>672</v>
      </c>
      <c r="P265" s="416" t="s">
        <v>688</v>
      </c>
      <c r="Q265" s="416" t="s">
        <v>689</v>
      </c>
      <c r="R265" s="417">
        <v>41415</v>
      </c>
      <c r="S265" s="417">
        <v>43241</v>
      </c>
      <c r="T265" s="417">
        <v>43241</v>
      </c>
      <c r="U265" s="416">
        <v>1.03</v>
      </c>
      <c r="V265" s="418">
        <v>25000</v>
      </c>
      <c r="W265" s="419">
        <v>25000000</v>
      </c>
      <c r="X265" s="416" t="s">
        <v>666</v>
      </c>
      <c r="Y265" s="416" t="s">
        <v>677</v>
      </c>
      <c r="Z265" s="416" t="s">
        <v>900</v>
      </c>
      <c r="AA265" s="419">
        <v>92270.82</v>
      </c>
      <c r="AB265" s="419">
        <v>24941000</v>
      </c>
      <c r="AC265" s="416" t="s">
        <v>666</v>
      </c>
      <c r="AG265" s="53"/>
      <c r="AH265" s="54"/>
      <c r="AL265" s="54"/>
      <c r="AM265" s="54"/>
    </row>
    <row r="266" spans="1:39">
      <c r="A266" s="415">
        <v>4</v>
      </c>
      <c r="B266" s="415" t="s">
        <v>338</v>
      </c>
      <c r="C266" s="415">
        <v>84</v>
      </c>
      <c r="D266" s="415" t="s">
        <v>612</v>
      </c>
      <c r="E266" s="415">
        <v>10</v>
      </c>
      <c r="F266" s="415" t="s">
        <v>305</v>
      </c>
      <c r="G266" s="415">
        <v>15</v>
      </c>
      <c r="H266" s="415" t="s">
        <v>471</v>
      </c>
      <c r="I266" s="415" t="s">
        <v>445</v>
      </c>
      <c r="J266" s="415" t="s">
        <v>446</v>
      </c>
      <c r="K266" s="415">
        <v>13060311</v>
      </c>
      <c r="L266" s="41">
        <f>VLOOKUP(K266,WebPosting!$B$6:$B$561,1,FALSE)</f>
        <v>13060311</v>
      </c>
      <c r="M266" s="46">
        <f>(($V266*1000)*(IFERROR($T266-WebPosting!$K$1,"0")))</f>
        <v>10400000000</v>
      </c>
      <c r="N266" s="43">
        <f t="shared" si="4"/>
        <v>250000</v>
      </c>
      <c r="O266" s="416" t="s">
        <v>672</v>
      </c>
      <c r="P266" s="416" t="s">
        <v>901</v>
      </c>
      <c r="Q266" s="416" t="s">
        <v>902</v>
      </c>
      <c r="R266" s="417">
        <v>41428</v>
      </c>
      <c r="S266" s="417">
        <v>43241</v>
      </c>
      <c r="T266" s="417">
        <v>43241</v>
      </c>
      <c r="U266" s="416">
        <v>1</v>
      </c>
      <c r="V266" s="418">
        <v>25000</v>
      </c>
      <c r="W266" s="419">
        <v>25000000</v>
      </c>
      <c r="X266" s="416" t="s">
        <v>666</v>
      </c>
      <c r="Y266" s="416" t="s">
        <v>677</v>
      </c>
      <c r="Z266" s="416" t="s">
        <v>903</v>
      </c>
      <c r="AA266" s="419">
        <v>104229.29</v>
      </c>
      <c r="AB266" s="419">
        <v>24901500</v>
      </c>
      <c r="AC266" s="416" t="s">
        <v>666</v>
      </c>
      <c r="AG266" s="53"/>
      <c r="AH266" s="54"/>
      <c r="AL266" s="54"/>
      <c r="AM266" s="54"/>
    </row>
    <row r="267" spans="1:39">
      <c r="A267" s="415">
        <v>4</v>
      </c>
      <c r="B267" s="415" t="s">
        <v>338</v>
      </c>
      <c r="C267" s="415">
        <v>84</v>
      </c>
      <c r="D267" s="415" t="s">
        <v>612</v>
      </c>
      <c r="E267" s="415">
        <v>10</v>
      </c>
      <c r="F267" s="415" t="s">
        <v>305</v>
      </c>
      <c r="G267" s="415">
        <v>15</v>
      </c>
      <c r="H267" s="415" t="s">
        <v>471</v>
      </c>
      <c r="I267" s="415" t="s">
        <v>445</v>
      </c>
      <c r="J267" s="415" t="s">
        <v>446</v>
      </c>
      <c r="K267" s="415">
        <v>13092013</v>
      </c>
      <c r="L267" s="41">
        <f>VLOOKUP(K267,WebPosting!$B$6:$B$561,1,FALSE)</f>
        <v>13092013</v>
      </c>
      <c r="M267" s="46">
        <f>(($V267*1000)*(IFERROR($T267-WebPosting!$K$1,"0")))</f>
        <v>10400000000</v>
      </c>
      <c r="N267" s="43">
        <f t="shared" si="4"/>
        <v>250000</v>
      </c>
      <c r="O267" s="416" t="s">
        <v>672</v>
      </c>
      <c r="P267" s="416" t="s">
        <v>717</v>
      </c>
      <c r="Q267" s="416" t="s">
        <v>718</v>
      </c>
      <c r="R267" s="417">
        <v>41537</v>
      </c>
      <c r="S267" s="417">
        <v>43241</v>
      </c>
      <c r="T267" s="417">
        <v>43241</v>
      </c>
      <c r="U267" s="416">
        <v>1</v>
      </c>
      <c r="V267" s="418">
        <v>25000</v>
      </c>
      <c r="W267" s="419">
        <v>25000000</v>
      </c>
      <c r="X267" s="416" t="s">
        <v>666</v>
      </c>
      <c r="Y267" s="416" t="s">
        <v>677</v>
      </c>
      <c r="Z267" s="416" t="s">
        <v>903</v>
      </c>
      <c r="AA267" s="419">
        <v>140461.95000000001</v>
      </c>
      <c r="AB267" s="419">
        <v>24901500</v>
      </c>
      <c r="AC267" s="416" t="s">
        <v>666</v>
      </c>
      <c r="AG267" s="53"/>
      <c r="AH267" s="54"/>
      <c r="AL267" s="54"/>
      <c r="AM267" s="54"/>
    </row>
    <row r="268" spans="1:39">
      <c r="A268" s="415">
        <v>4</v>
      </c>
      <c r="B268" s="415" t="s">
        <v>338</v>
      </c>
      <c r="C268" s="415">
        <v>84</v>
      </c>
      <c r="D268" s="415" t="s">
        <v>612</v>
      </c>
      <c r="E268" s="415">
        <v>10</v>
      </c>
      <c r="F268" s="415" t="s">
        <v>305</v>
      </c>
      <c r="G268" s="415">
        <v>15</v>
      </c>
      <c r="H268" s="415" t="s">
        <v>471</v>
      </c>
      <c r="I268" s="415" t="s">
        <v>445</v>
      </c>
      <c r="J268" s="415" t="s">
        <v>446</v>
      </c>
      <c r="K268" s="415">
        <v>16081615</v>
      </c>
      <c r="L268" s="41">
        <f>VLOOKUP(K268,WebPosting!$B$6:$B$561,1,FALSE)</f>
        <v>16081615</v>
      </c>
      <c r="M268" s="46">
        <f>(($V268*1000)*(IFERROR($T268-WebPosting!$K$1,"0")))</f>
        <v>21700000000</v>
      </c>
      <c r="N268" s="43">
        <f t="shared" si="4"/>
        <v>300000</v>
      </c>
      <c r="O268" s="416" t="s">
        <v>672</v>
      </c>
      <c r="P268" s="416" t="s">
        <v>688</v>
      </c>
      <c r="Q268" s="416" t="s">
        <v>689</v>
      </c>
      <c r="R268" s="417">
        <v>42598</v>
      </c>
      <c r="S268" s="417">
        <v>43693</v>
      </c>
      <c r="T268" s="417">
        <v>43693</v>
      </c>
      <c r="U268" s="416">
        <v>1.2</v>
      </c>
      <c r="V268" s="418">
        <v>25000</v>
      </c>
      <c r="W268" s="419">
        <v>25000000</v>
      </c>
      <c r="X268" s="416" t="s">
        <v>666</v>
      </c>
      <c r="Y268" s="416" t="s">
        <v>677</v>
      </c>
      <c r="Z268" s="416" t="s">
        <v>904</v>
      </c>
      <c r="AA268" s="419">
        <v>36666.67</v>
      </c>
      <c r="AB268" s="419">
        <v>24757000</v>
      </c>
      <c r="AC268" s="416" t="s">
        <v>666</v>
      </c>
      <c r="AG268" s="53"/>
      <c r="AH268" s="54"/>
      <c r="AL268" s="54"/>
      <c r="AM268" s="54"/>
    </row>
    <row r="269" spans="1:39">
      <c r="A269" s="415">
        <v>4</v>
      </c>
      <c r="B269" s="415" t="s">
        <v>338</v>
      </c>
      <c r="C269" s="415">
        <v>84</v>
      </c>
      <c r="D269" s="415" t="s">
        <v>612</v>
      </c>
      <c r="E269" s="415">
        <v>10</v>
      </c>
      <c r="F269" s="415" t="s">
        <v>305</v>
      </c>
      <c r="G269" s="415">
        <v>15</v>
      </c>
      <c r="H269" s="415" t="s">
        <v>471</v>
      </c>
      <c r="I269" s="415" t="s">
        <v>445</v>
      </c>
      <c r="J269" s="415" t="s">
        <v>446</v>
      </c>
      <c r="K269" s="415">
        <v>16083013</v>
      </c>
      <c r="L269" s="41">
        <f>VLOOKUP(K269,WebPosting!$B$6:$B$561,1,FALSE)</f>
        <v>16083013</v>
      </c>
      <c r="M269" s="46">
        <f>(($V269*1000)*(IFERROR($T269-WebPosting!$K$1,"0")))</f>
        <v>22000000000</v>
      </c>
      <c r="N269" s="43">
        <f t="shared" si="4"/>
        <v>287500</v>
      </c>
      <c r="O269" s="416" t="s">
        <v>672</v>
      </c>
      <c r="P269" s="416" t="s">
        <v>905</v>
      </c>
      <c r="Q269" s="416" t="s">
        <v>906</v>
      </c>
      <c r="R269" s="417">
        <v>42612</v>
      </c>
      <c r="S269" s="417">
        <v>43705</v>
      </c>
      <c r="T269" s="417">
        <v>43705</v>
      </c>
      <c r="U269" s="416">
        <v>1.1499999999999999</v>
      </c>
      <c r="V269" s="418">
        <v>25000</v>
      </c>
      <c r="W269" s="419">
        <v>25000000</v>
      </c>
      <c r="X269" s="416" t="s">
        <v>666</v>
      </c>
      <c r="Y269" s="416" t="s">
        <v>677</v>
      </c>
      <c r="Z269" s="416" t="s">
        <v>907</v>
      </c>
      <c r="AA269" s="419">
        <v>25555.56</v>
      </c>
      <c r="AB269" s="419">
        <v>24722750</v>
      </c>
      <c r="AC269" s="416" t="s">
        <v>666</v>
      </c>
      <c r="AG269" s="53"/>
      <c r="AH269" s="54"/>
      <c r="AL269" s="54"/>
      <c r="AM269" s="54"/>
    </row>
    <row r="270" spans="1:39">
      <c r="A270" s="415">
        <v>4</v>
      </c>
      <c r="B270" s="415" t="s">
        <v>338</v>
      </c>
      <c r="C270" s="415">
        <v>84</v>
      </c>
      <c r="D270" s="415" t="s">
        <v>612</v>
      </c>
      <c r="E270" s="415">
        <v>10</v>
      </c>
      <c r="F270" s="415" t="s">
        <v>305</v>
      </c>
      <c r="G270" s="415">
        <v>15</v>
      </c>
      <c r="H270" s="415" t="s">
        <v>471</v>
      </c>
      <c r="I270" s="415" t="s">
        <v>445</v>
      </c>
      <c r="J270" s="415" t="s">
        <v>446</v>
      </c>
      <c r="K270" s="415">
        <v>16092710</v>
      </c>
      <c r="L270" s="41">
        <f>VLOOKUP(K270,WebPosting!$B$6:$B$561,1,FALSE)</f>
        <v>16092710</v>
      </c>
      <c r="M270" s="46">
        <f>(($V270*1000)*(IFERROR($T270-WebPosting!$K$1,"0")))</f>
        <v>22225000000</v>
      </c>
      <c r="N270" s="43">
        <f t="shared" si="4"/>
        <v>281250</v>
      </c>
      <c r="O270" s="416" t="s">
        <v>672</v>
      </c>
      <c r="P270" s="416" t="s">
        <v>679</v>
      </c>
      <c r="Q270" s="416" t="s">
        <v>680</v>
      </c>
      <c r="R270" s="417">
        <v>42640</v>
      </c>
      <c r="S270" s="417">
        <v>43714</v>
      </c>
      <c r="T270" s="417">
        <v>43714</v>
      </c>
      <c r="U270" s="416">
        <v>1.125</v>
      </c>
      <c r="V270" s="418">
        <v>25000</v>
      </c>
      <c r="W270" s="419">
        <v>25000000</v>
      </c>
      <c r="X270" s="416" t="s">
        <v>666</v>
      </c>
      <c r="Y270" s="416" t="s">
        <v>677</v>
      </c>
      <c r="Z270" s="416" t="s">
        <v>908</v>
      </c>
      <c r="AA270" s="419">
        <v>18750</v>
      </c>
      <c r="AB270" s="419">
        <v>24738000</v>
      </c>
      <c r="AC270" s="416" t="s">
        <v>666</v>
      </c>
      <c r="AG270" s="53"/>
      <c r="AH270" s="54"/>
      <c r="AL270" s="54"/>
      <c r="AM270" s="54"/>
    </row>
    <row r="271" spans="1:39">
      <c r="A271" s="415">
        <v>4</v>
      </c>
      <c r="B271" s="415" t="s">
        <v>338</v>
      </c>
      <c r="C271" s="415">
        <v>84</v>
      </c>
      <c r="D271" s="415" t="s">
        <v>612</v>
      </c>
      <c r="E271" s="415">
        <v>10</v>
      </c>
      <c r="F271" s="415" t="s">
        <v>305</v>
      </c>
      <c r="G271" s="415">
        <v>15</v>
      </c>
      <c r="H271" s="415" t="s">
        <v>471</v>
      </c>
      <c r="I271" s="415" t="s">
        <v>445</v>
      </c>
      <c r="J271" s="415" t="s">
        <v>446</v>
      </c>
      <c r="K271" s="415">
        <v>16093013</v>
      </c>
      <c r="L271" s="41">
        <f>VLOOKUP(K271,WebPosting!$B$6:$B$561,1,FALSE)</f>
        <v>16093013</v>
      </c>
      <c r="M271" s="46">
        <f>(($V271*1000)*(IFERROR($T271-WebPosting!$K$1,"0")))</f>
        <v>27390000000</v>
      </c>
      <c r="N271" s="43">
        <f t="shared" si="4"/>
        <v>390000.00000000006</v>
      </c>
      <c r="O271" s="416" t="s">
        <v>672</v>
      </c>
      <c r="P271" s="416" t="s">
        <v>675</v>
      </c>
      <c r="Q271" s="416" t="s">
        <v>676</v>
      </c>
      <c r="R271" s="417">
        <v>42643</v>
      </c>
      <c r="S271" s="417">
        <v>43738</v>
      </c>
      <c r="T271" s="417">
        <v>43738</v>
      </c>
      <c r="U271" s="416">
        <v>1.3</v>
      </c>
      <c r="V271" s="418">
        <v>30000</v>
      </c>
      <c r="W271" s="419">
        <v>30000000</v>
      </c>
      <c r="X271" s="416" t="s">
        <v>666</v>
      </c>
      <c r="Y271" s="416" t="s">
        <v>677</v>
      </c>
      <c r="Z271" s="416" t="s">
        <v>909</v>
      </c>
      <c r="AA271" s="416">
        <v>0</v>
      </c>
      <c r="AB271" s="419">
        <v>29785200</v>
      </c>
      <c r="AC271" s="416" t="s">
        <v>666</v>
      </c>
      <c r="AG271" s="53"/>
      <c r="AH271" s="54"/>
      <c r="AL271" s="54"/>
      <c r="AM271" s="54"/>
    </row>
    <row r="272" spans="1:39">
      <c r="A272" s="415">
        <v>4</v>
      </c>
      <c r="B272" s="415" t="s">
        <v>338</v>
      </c>
      <c r="C272" s="415">
        <v>84</v>
      </c>
      <c r="D272" s="415" t="s">
        <v>612</v>
      </c>
      <c r="E272" s="415">
        <v>10</v>
      </c>
      <c r="F272" s="415" t="s">
        <v>305</v>
      </c>
      <c r="G272" s="415">
        <v>15</v>
      </c>
      <c r="H272" s="415" t="s">
        <v>471</v>
      </c>
      <c r="I272" s="415" t="s">
        <v>445</v>
      </c>
      <c r="J272" s="415" t="s">
        <v>446</v>
      </c>
      <c r="K272" s="415">
        <v>16092720</v>
      </c>
      <c r="L272" s="41">
        <f>VLOOKUP(K272,WebPosting!$B$6:$B$561,1,FALSE)</f>
        <v>16092720</v>
      </c>
      <c r="M272" s="46">
        <f>(($V272*1000)*(IFERROR($T272-WebPosting!$K$1,"0")))</f>
        <v>25025000000</v>
      </c>
      <c r="N272" s="43">
        <f t="shared" si="4"/>
        <v>312500</v>
      </c>
      <c r="O272" s="416" t="s">
        <v>672</v>
      </c>
      <c r="P272" s="416" t="s">
        <v>683</v>
      </c>
      <c r="Q272" s="416" t="s">
        <v>684</v>
      </c>
      <c r="R272" s="417">
        <v>42640</v>
      </c>
      <c r="S272" s="417">
        <v>43826</v>
      </c>
      <c r="T272" s="417">
        <v>43826</v>
      </c>
      <c r="U272" s="416">
        <v>1.25</v>
      </c>
      <c r="V272" s="418">
        <v>25000</v>
      </c>
      <c r="W272" s="419">
        <v>25000000</v>
      </c>
      <c r="X272" s="416" t="s">
        <v>666</v>
      </c>
      <c r="Y272" s="416" t="s">
        <v>677</v>
      </c>
      <c r="Z272" s="416" t="s">
        <v>910</v>
      </c>
      <c r="AA272" s="419">
        <v>80729.179999999993</v>
      </c>
      <c r="AB272" s="419">
        <v>24680500</v>
      </c>
      <c r="AC272" s="416" t="s">
        <v>666</v>
      </c>
      <c r="AG272" s="53"/>
      <c r="AH272" s="54"/>
      <c r="AL272" s="54"/>
      <c r="AM272" s="54"/>
    </row>
    <row r="273" spans="1:39">
      <c r="A273" s="415">
        <v>4</v>
      </c>
      <c r="B273" s="415" t="s">
        <v>338</v>
      </c>
      <c r="C273" s="415">
        <v>84</v>
      </c>
      <c r="D273" s="415" t="s">
        <v>612</v>
      </c>
      <c r="E273" s="415">
        <v>10</v>
      </c>
      <c r="F273" s="415" t="s">
        <v>305</v>
      </c>
      <c r="G273" s="415">
        <v>15</v>
      </c>
      <c r="H273" s="415" t="s">
        <v>471</v>
      </c>
      <c r="I273" s="415" t="s">
        <v>445</v>
      </c>
      <c r="J273" s="415" t="s">
        <v>446</v>
      </c>
      <c r="K273" s="415">
        <v>17022814</v>
      </c>
      <c r="L273" s="41">
        <f>VLOOKUP(K273,WebPosting!$B$6:$B$561,1,FALSE)</f>
        <v>17022814</v>
      </c>
      <c r="M273" s="46">
        <f>(($V273*1000)*(IFERROR($T273-WebPosting!$K$1,"0")))</f>
        <v>26600000000</v>
      </c>
      <c r="N273" s="43">
        <f t="shared" si="4"/>
        <v>375000</v>
      </c>
      <c r="O273" s="416" t="s">
        <v>672</v>
      </c>
      <c r="P273" s="416" t="s">
        <v>856</v>
      </c>
      <c r="Q273" s="416" t="s">
        <v>857</v>
      </c>
      <c r="R273" s="417">
        <v>42794</v>
      </c>
      <c r="S273" s="417">
        <v>43889</v>
      </c>
      <c r="T273" s="417">
        <v>43889</v>
      </c>
      <c r="U273" s="416">
        <v>1.5</v>
      </c>
      <c r="V273" s="418">
        <v>25000</v>
      </c>
      <c r="W273" s="419">
        <v>25000000</v>
      </c>
      <c r="X273" s="416" t="s">
        <v>666</v>
      </c>
      <c r="Y273" s="416" t="s">
        <v>677</v>
      </c>
      <c r="Z273" s="416" t="s">
        <v>911</v>
      </c>
      <c r="AA273" s="419">
        <v>33807.4</v>
      </c>
      <c r="AB273" s="419">
        <v>24921250</v>
      </c>
      <c r="AC273" s="416" t="s">
        <v>666</v>
      </c>
      <c r="AG273" s="53"/>
      <c r="AH273" s="54"/>
      <c r="AL273" s="54"/>
      <c r="AM273" s="54"/>
    </row>
    <row r="274" spans="1:39">
      <c r="A274" s="415">
        <v>4</v>
      </c>
      <c r="B274" s="415" t="s">
        <v>338</v>
      </c>
      <c r="C274" s="415">
        <v>84</v>
      </c>
      <c r="D274" s="415" t="s">
        <v>612</v>
      </c>
      <c r="E274" s="415">
        <v>10</v>
      </c>
      <c r="F274" s="415" t="s">
        <v>305</v>
      </c>
      <c r="G274" s="415">
        <v>15</v>
      </c>
      <c r="H274" s="415" t="s">
        <v>471</v>
      </c>
      <c r="I274" s="415" t="s">
        <v>445</v>
      </c>
      <c r="J274" s="415" t="s">
        <v>446</v>
      </c>
      <c r="K274" s="415">
        <v>16092709</v>
      </c>
      <c r="L274" s="41">
        <f>VLOOKUP(K274,WebPosting!$B$6:$B$561,1,FALSE)</f>
        <v>16092709</v>
      </c>
      <c r="M274" s="46">
        <f>(($V274*1000)*(IFERROR($T274-WebPosting!$K$1,"0")))</f>
        <v>27300000000</v>
      </c>
      <c r="N274" s="43">
        <f t="shared" si="4"/>
        <v>342500</v>
      </c>
      <c r="O274" s="416" t="s">
        <v>672</v>
      </c>
      <c r="P274" s="416" t="s">
        <v>683</v>
      </c>
      <c r="Q274" s="416" t="s">
        <v>684</v>
      </c>
      <c r="R274" s="417">
        <v>42640</v>
      </c>
      <c r="S274" s="417">
        <v>43917</v>
      </c>
      <c r="T274" s="417">
        <v>43917</v>
      </c>
      <c r="U274" s="416">
        <v>1.37</v>
      </c>
      <c r="V274" s="418">
        <v>25000</v>
      </c>
      <c r="W274" s="419">
        <v>25000000</v>
      </c>
      <c r="X274" s="416" t="s">
        <v>666</v>
      </c>
      <c r="Y274" s="416" t="s">
        <v>677</v>
      </c>
      <c r="Z274" s="416" t="s">
        <v>912</v>
      </c>
      <c r="AA274" s="419">
        <v>2854.17</v>
      </c>
      <c r="AB274" s="419">
        <v>24690000</v>
      </c>
      <c r="AC274" s="416" t="s">
        <v>666</v>
      </c>
      <c r="AG274" s="53"/>
      <c r="AH274" s="54"/>
      <c r="AL274" s="54"/>
      <c r="AM274" s="54"/>
    </row>
    <row r="275" spans="1:39">
      <c r="A275" s="415">
        <v>4</v>
      </c>
      <c r="B275" s="415" t="s">
        <v>338</v>
      </c>
      <c r="C275" s="415">
        <v>84</v>
      </c>
      <c r="D275" s="415" t="s">
        <v>612</v>
      </c>
      <c r="E275" s="415">
        <v>10</v>
      </c>
      <c r="F275" s="415" t="s">
        <v>305</v>
      </c>
      <c r="G275" s="415">
        <v>15</v>
      </c>
      <c r="H275" s="415" t="s">
        <v>471</v>
      </c>
      <c r="I275" s="415" t="s">
        <v>445</v>
      </c>
      <c r="J275" s="415" t="s">
        <v>446</v>
      </c>
      <c r="K275" s="415">
        <v>17032707</v>
      </c>
      <c r="L275" s="41">
        <f>VLOOKUP(K275,WebPosting!$B$6:$B$561,1,FALSE)</f>
        <v>17032707</v>
      </c>
      <c r="M275" s="46">
        <f>(($V275*1000)*(IFERROR($T275-WebPosting!$K$1,"0")))</f>
        <v>27300000000</v>
      </c>
      <c r="N275" s="43">
        <f t="shared" si="4"/>
        <v>462500.00000000006</v>
      </c>
      <c r="O275" s="416" t="s">
        <v>672</v>
      </c>
      <c r="P275" s="416" t="s">
        <v>675</v>
      </c>
      <c r="Q275" s="416" t="s">
        <v>676</v>
      </c>
      <c r="R275" s="417">
        <v>42821</v>
      </c>
      <c r="S275" s="417">
        <v>43917</v>
      </c>
      <c r="T275" s="417">
        <v>43917</v>
      </c>
      <c r="U275" s="416">
        <v>1.85</v>
      </c>
      <c r="V275" s="418">
        <v>25000</v>
      </c>
      <c r="W275" s="419">
        <v>25000000</v>
      </c>
      <c r="X275" s="416" t="s">
        <v>666</v>
      </c>
      <c r="Y275" s="416" t="s">
        <v>677</v>
      </c>
      <c r="Z275" s="416" t="s">
        <v>1064</v>
      </c>
      <c r="AA275" s="419">
        <v>3871.53</v>
      </c>
      <c r="AB275" s="419">
        <v>24988500</v>
      </c>
      <c r="AC275" s="416" t="s">
        <v>666</v>
      </c>
      <c r="AH275" s="54"/>
    </row>
    <row r="276" spans="1:39">
      <c r="A276" s="415">
        <v>4</v>
      </c>
      <c r="B276" s="415" t="s">
        <v>338</v>
      </c>
      <c r="C276" s="415">
        <v>84</v>
      </c>
      <c r="D276" s="415" t="s">
        <v>612</v>
      </c>
      <c r="E276" s="415">
        <v>10</v>
      </c>
      <c r="F276" s="415" t="s">
        <v>305</v>
      </c>
      <c r="G276" s="415">
        <v>15</v>
      </c>
      <c r="H276" s="415" t="s">
        <v>471</v>
      </c>
      <c r="I276" s="415" t="s">
        <v>445</v>
      </c>
      <c r="J276" s="415" t="s">
        <v>446</v>
      </c>
      <c r="K276" s="415">
        <v>17033015</v>
      </c>
      <c r="L276" s="41">
        <f>VLOOKUP(K276,WebPosting!$B$6:$B$561,1,FALSE)</f>
        <v>17033015</v>
      </c>
      <c r="M276" s="46">
        <f>(($V276*1000)*(IFERROR($T276-WebPosting!$K$1,"0")))</f>
        <v>31975000000</v>
      </c>
      <c r="N276" s="43">
        <f t="shared" si="4"/>
        <v>375000</v>
      </c>
      <c r="O276" s="416" t="s">
        <v>672</v>
      </c>
      <c r="P276" s="416" t="s">
        <v>847</v>
      </c>
      <c r="Q276" s="416" t="s">
        <v>848</v>
      </c>
      <c r="R276" s="417">
        <v>42643</v>
      </c>
      <c r="S276" s="417">
        <v>44104</v>
      </c>
      <c r="T276" s="417">
        <v>44104</v>
      </c>
      <c r="U276" s="416">
        <v>1.5</v>
      </c>
      <c r="V276" s="418">
        <v>25000</v>
      </c>
      <c r="W276" s="419">
        <v>25000000</v>
      </c>
      <c r="X276" s="416" t="s">
        <v>666</v>
      </c>
      <c r="Y276" s="416" t="s">
        <v>677</v>
      </c>
      <c r="Z276" s="416" t="s">
        <v>913</v>
      </c>
      <c r="AA276" s="416">
        <v>0</v>
      </c>
      <c r="AB276" s="419">
        <v>24653500</v>
      </c>
      <c r="AC276" s="416" t="s">
        <v>666</v>
      </c>
      <c r="AH276" s="54"/>
    </row>
    <row r="277" spans="1:39">
      <c r="A277" s="415">
        <v>4</v>
      </c>
      <c r="B277" s="415" t="s">
        <v>338</v>
      </c>
      <c r="C277" s="415">
        <v>84</v>
      </c>
      <c r="D277" s="415" t="s">
        <v>612</v>
      </c>
      <c r="E277" s="415">
        <v>10</v>
      </c>
      <c r="F277" s="415" t="s">
        <v>305</v>
      </c>
      <c r="G277" s="415">
        <v>15</v>
      </c>
      <c r="H277" s="415" t="s">
        <v>471</v>
      </c>
      <c r="I277" s="415" t="s">
        <v>445</v>
      </c>
      <c r="J277" s="415" t="s">
        <v>446</v>
      </c>
      <c r="K277" s="415">
        <v>16072710</v>
      </c>
      <c r="L277" s="41">
        <f>VLOOKUP(K277,WebPosting!$B$6:$B$561,1,FALSE)</f>
        <v>16072710</v>
      </c>
      <c r="M277" s="46">
        <f>(($V277*1000)*(IFERROR($T277-WebPosting!$K$1,"0")))</f>
        <v>15790000000</v>
      </c>
      <c r="N277" s="43">
        <f t="shared" si="4"/>
        <v>112500</v>
      </c>
      <c r="O277" s="416" t="s">
        <v>672</v>
      </c>
      <c r="P277" s="416" t="s">
        <v>896</v>
      </c>
      <c r="Q277" s="416" t="s">
        <v>897</v>
      </c>
      <c r="R277" s="417">
        <v>42578</v>
      </c>
      <c r="S277" s="417">
        <v>44404</v>
      </c>
      <c r="T277" s="417">
        <v>44404</v>
      </c>
      <c r="U277" s="416">
        <v>1.125</v>
      </c>
      <c r="V277" s="418">
        <v>10000</v>
      </c>
      <c r="W277" s="419">
        <v>10000000</v>
      </c>
      <c r="X277" s="416" t="s">
        <v>666</v>
      </c>
      <c r="Y277" s="416" t="s">
        <v>677</v>
      </c>
      <c r="Z277" s="416" t="s">
        <v>914</v>
      </c>
      <c r="AA277" s="419">
        <v>19687.5</v>
      </c>
      <c r="AB277" s="419">
        <v>9847400</v>
      </c>
      <c r="AC277" s="416" t="s">
        <v>666</v>
      </c>
      <c r="AH277" s="54"/>
    </row>
    <row r="278" spans="1:39">
      <c r="A278" s="415">
        <v>4</v>
      </c>
      <c r="B278" s="415" t="s">
        <v>338</v>
      </c>
      <c r="C278" s="415">
        <v>84</v>
      </c>
      <c r="D278" s="415" t="s">
        <v>612</v>
      </c>
      <c r="E278" s="415">
        <v>10</v>
      </c>
      <c r="F278" s="415" t="s">
        <v>305</v>
      </c>
      <c r="G278" s="415">
        <v>15</v>
      </c>
      <c r="H278" s="415" t="s">
        <v>471</v>
      </c>
      <c r="I278" s="415" t="s">
        <v>445</v>
      </c>
      <c r="J278" s="415" t="s">
        <v>446</v>
      </c>
      <c r="K278" s="415">
        <v>16072711</v>
      </c>
      <c r="L278" s="41">
        <f>VLOOKUP(K278,WebPosting!$B$6:$B$561,1,FALSE)</f>
        <v>16072711</v>
      </c>
      <c r="M278" s="46">
        <f>(($V278*1000)*(IFERROR($T278-WebPosting!$K$1,"0")))</f>
        <v>23685000000</v>
      </c>
      <c r="N278" s="43">
        <f t="shared" si="4"/>
        <v>168750</v>
      </c>
      <c r="O278" s="416" t="s">
        <v>672</v>
      </c>
      <c r="P278" s="416" t="s">
        <v>896</v>
      </c>
      <c r="Q278" s="416" t="s">
        <v>897</v>
      </c>
      <c r="R278" s="417">
        <v>42578</v>
      </c>
      <c r="S278" s="417">
        <v>44404</v>
      </c>
      <c r="T278" s="417">
        <v>44404</v>
      </c>
      <c r="U278" s="416">
        <v>1.125</v>
      </c>
      <c r="V278" s="418">
        <v>15000</v>
      </c>
      <c r="W278" s="419">
        <v>15000000</v>
      </c>
      <c r="X278" s="416" t="s">
        <v>666</v>
      </c>
      <c r="Y278" s="416" t="s">
        <v>677</v>
      </c>
      <c r="Z278" s="416" t="s">
        <v>914</v>
      </c>
      <c r="AA278" s="419">
        <v>29531.25</v>
      </c>
      <c r="AB278" s="419">
        <v>14771100</v>
      </c>
      <c r="AC278" s="416" t="s">
        <v>666</v>
      </c>
      <c r="AH278" s="54"/>
    </row>
    <row r="279" spans="1:39">
      <c r="A279" s="415">
        <v>4</v>
      </c>
      <c r="B279" s="415" t="s">
        <v>338</v>
      </c>
      <c r="C279" s="415">
        <v>84</v>
      </c>
      <c r="D279" s="415" t="s">
        <v>612</v>
      </c>
      <c r="E279" s="415">
        <v>10</v>
      </c>
      <c r="F279" s="415" t="s">
        <v>305</v>
      </c>
      <c r="G279" s="415">
        <v>15</v>
      </c>
      <c r="H279" s="415" t="s">
        <v>471</v>
      </c>
      <c r="I279" s="415" t="s">
        <v>445</v>
      </c>
      <c r="J279" s="415" t="s">
        <v>446</v>
      </c>
      <c r="K279" s="415">
        <v>16081701</v>
      </c>
      <c r="L279" s="41">
        <f>VLOOKUP(K279,WebPosting!$B$6:$B$561,1,FALSE)</f>
        <v>16081701</v>
      </c>
      <c r="M279" s="46">
        <f>(($V279*1000)*(IFERROR($T279-WebPosting!$K$1,"0")))</f>
        <v>40000000000</v>
      </c>
      <c r="N279" s="43">
        <f t="shared" si="4"/>
        <v>387500</v>
      </c>
      <c r="O279" s="416" t="s">
        <v>672</v>
      </c>
      <c r="P279" s="416" t="s">
        <v>821</v>
      </c>
      <c r="Q279" s="416" t="s">
        <v>822</v>
      </c>
      <c r="R279" s="417">
        <v>42599</v>
      </c>
      <c r="S279" s="417">
        <v>44425</v>
      </c>
      <c r="T279" s="417">
        <v>44425</v>
      </c>
      <c r="U279" s="416">
        <v>1.55</v>
      </c>
      <c r="V279" s="418">
        <v>25000</v>
      </c>
      <c r="W279" s="419">
        <v>25000000</v>
      </c>
      <c r="X279" s="416" t="s">
        <v>666</v>
      </c>
      <c r="Y279" s="416" t="s">
        <v>677</v>
      </c>
      <c r="Z279" s="416" t="s">
        <v>915</v>
      </c>
      <c r="AA279" s="419">
        <v>46822.23</v>
      </c>
      <c r="AB279" s="419">
        <v>24496500</v>
      </c>
      <c r="AC279" s="416" t="s">
        <v>666</v>
      </c>
      <c r="AH279" s="54"/>
    </row>
    <row r="280" spans="1:39">
      <c r="A280" s="415">
        <v>4</v>
      </c>
      <c r="B280" s="415" t="s">
        <v>338</v>
      </c>
      <c r="C280" s="415">
        <v>85</v>
      </c>
      <c r="D280" s="415" t="s">
        <v>613</v>
      </c>
      <c r="E280" s="415">
        <v>10</v>
      </c>
      <c r="F280" s="415" t="s">
        <v>305</v>
      </c>
      <c r="G280" s="415">
        <v>15</v>
      </c>
      <c r="H280" s="415" t="s">
        <v>471</v>
      </c>
      <c r="I280" s="415" t="s">
        <v>449</v>
      </c>
      <c r="J280" s="415" t="s">
        <v>450</v>
      </c>
      <c r="K280" s="415">
        <v>15120320</v>
      </c>
      <c r="L280" s="41">
        <f>VLOOKUP(K280,WebPosting!$B$6:$B$561,1,FALSE)</f>
        <v>15120320</v>
      </c>
      <c r="M280" s="46">
        <f>(($V280*1000)*(IFERROR($T280-WebPosting!$K$1,"0")))</f>
        <v>760000000</v>
      </c>
      <c r="N280" s="43">
        <f t="shared" si="4"/>
        <v>140000</v>
      </c>
      <c r="O280" s="416" t="s">
        <v>672</v>
      </c>
      <c r="P280" s="416" t="s">
        <v>862</v>
      </c>
      <c r="Q280" s="416" t="s">
        <v>863</v>
      </c>
      <c r="R280" s="417">
        <v>42341</v>
      </c>
      <c r="S280" s="417">
        <v>42863</v>
      </c>
      <c r="T280" s="417">
        <v>42863</v>
      </c>
      <c r="U280" s="416">
        <v>0.7</v>
      </c>
      <c r="V280" s="418">
        <v>20000</v>
      </c>
      <c r="W280" s="419">
        <v>20000000</v>
      </c>
      <c r="X280" s="416" t="s">
        <v>666</v>
      </c>
      <c r="Y280" s="416" t="s">
        <v>677</v>
      </c>
      <c r="Z280" s="416" t="s">
        <v>916</v>
      </c>
      <c r="AA280" s="419">
        <v>63108.07</v>
      </c>
      <c r="AB280" s="419">
        <v>19997000</v>
      </c>
      <c r="AC280" s="416" t="s">
        <v>666</v>
      </c>
      <c r="AH280" s="54"/>
    </row>
    <row r="281" spans="1:39">
      <c r="A281" s="415">
        <v>4</v>
      </c>
      <c r="B281" s="415" t="s">
        <v>338</v>
      </c>
      <c r="C281" s="415">
        <v>85</v>
      </c>
      <c r="D281" s="415" t="s">
        <v>613</v>
      </c>
      <c r="E281" s="415">
        <v>10</v>
      </c>
      <c r="F281" s="415" t="s">
        <v>305</v>
      </c>
      <c r="G281" s="415">
        <v>15</v>
      </c>
      <c r="H281" s="415" t="s">
        <v>471</v>
      </c>
      <c r="I281" s="415" t="s">
        <v>449</v>
      </c>
      <c r="J281" s="415" t="s">
        <v>450</v>
      </c>
      <c r="K281" s="415">
        <v>15052912</v>
      </c>
      <c r="L281" s="41">
        <f>VLOOKUP(K281,WebPosting!$B$6:$B$561,1,FALSE)</f>
        <v>15052912</v>
      </c>
      <c r="M281" s="46">
        <f>(($V281*1000)*(IFERROR($T281-WebPosting!$K$1,"0")))</f>
        <v>2625000000</v>
      </c>
      <c r="N281" s="43">
        <f t="shared" si="4"/>
        <v>187500</v>
      </c>
      <c r="O281" s="416" t="s">
        <v>672</v>
      </c>
      <c r="P281" s="416" t="s">
        <v>847</v>
      </c>
      <c r="Q281" s="416" t="s">
        <v>848</v>
      </c>
      <c r="R281" s="417">
        <v>42153</v>
      </c>
      <c r="S281" s="417">
        <v>42930</v>
      </c>
      <c r="T281" s="417">
        <v>42930</v>
      </c>
      <c r="U281" s="416">
        <v>0.75</v>
      </c>
      <c r="V281" s="418">
        <v>25000</v>
      </c>
      <c r="W281" s="419">
        <v>25000000</v>
      </c>
      <c r="X281" s="416" t="s">
        <v>666</v>
      </c>
      <c r="Y281" s="416" t="s">
        <v>677</v>
      </c>
      <c r="Z281" s="416" t="s">
        <v>917</v>
      </c>
      <c r="AA281" s="419">
        <v>41520.589999999997</v>
      </c>
      <c r="AB281" s="419">
        <v>24990250</v>
      </c>
      <c r="AC281" s="416" t="s">
        <v>666</v>
      </c>
      <c r="AH281" s="54"/>
    </row>
    <row r="282" spans="1:39">
      <c r="A282" s="415">
        <v>4</v>
      </c>
      <c r="B282" s="415" t="s">
        <v>338</v>
      </c>
      <c r="C282" s="415">
        <v>85</v>
      </c>
      <c r="D282" s="415" t="s">
        <v>613</v>
      </c>
      <c r="E282" s="415">
        <v>10</v>
      </c>
      <c r="F282" s="415" t="s">
        <v>305</v>
      </c>
      <c r="G282" s="415">
        <v>15</v>
      </c>
      <c r="H282" s="415" t="s">
        <v>471</v>
      </c>
      <c r="I282" s="415" t="s">
        <v>449</v>
      </c>
      <c r="J282" s="415" t="s">
        <v>450</v>
      </c>
      <c r="K282" s="415">
        <v>16060113</v>
      </c>
      <c r="L282" s="41">
        <f>VLOOKUP(K282,WebPosting!$B$6:$B$561,1,FALSE)</f>
        <v>16060113</v>
      </c>
      <c r="M282" s="46">
        <f>(($V282*1000)*(IFERROR($T282-WebPosting!$K$1,"0")))</f>
        <v>2625000000</v>
      </c>
      <c r="N282" s="43">
        <f t="shared" si="4"/>
        <v>187500</v>
      </c>
      <c r="O282" s="416" t="s">
        <v>672</v>
      </c>
      <c r="P282" s="416" t="s">
        <v>675</v>
      </c>
      <c r="Q282" s="416" t="s">
        <v>676</v>
      </c>
      <c r="R282" s="417">
        <v>42522</v>
      </c>
      <c r="S282" s="417">
        <v>42930</v>
      </c>
      <c r="T282" s="417">
        <v>42930</v>
      </c>
      <c r="U282" s="416">
        <v>0.75</v>
      </c>
      <c r="V282" s="418">
        <v>25000</v>
      </c>
      <c r="W282" s="419">
        <v>25000000</v>
      </c>
      <c r="X282" s="416" t="s">
        <v>666</v>
      </c>
      <c r="Y282" s="416" t="s">
        <v>677</v>
      </c>
      <c r="Z282" s="416" t="s">
        <v>917</v>
      </c>
      <c r="AA282" s="419">
        <v>39583.33</v>
      </c>
      <c r="AB282" s="419">
        <v>24990250</v>
      </c>
      <c r="AC282" s="416" t="s">
        <v>666</v>
      </c>
      <c r="AH282" s="54"/>
    </row>
    <row r="283" spans="1:39">
      <c r="A283" s="415">
        <v>4</v>
      </c>
      <c r="B283" s="415" t="s">
        <v>338</v>
      </c>
      <c r="C283" s="415">
        <v>85</v>
      </c>
      <c r="D283" s="415" t="s">
        <v>613</v>
      </c>
      <c r="E283" s="415">
        <v>10</v>
      </c>
      <c r="F283" s="415" t="s">
        <v>305</v>
      </c>
      <c r="G283" s="415">
        <v>15</v>
      </c>
      <c r="H283" s="415" t="s">
        <v>471</v>
      </c>
      <c r="I283" s="415" t="s">
        <v>449</v>
      </c>
      <c r="J283" s="415" t="s">
        <v>450</v>
      </c>
      <c r="K283" s="415">
        <v>12081506</v>
      </c>
      <c r="L283" s="41">
        <f>VLOOKUP(K283,WebPosting!$B$6:$B$561,1,FALSE)</f>
        <v>12081506</v>
      </c>
      <c r="M283" s="46">
        <f>(($V283*1000)*(IFERROR($T283-WebPosting!$K$1,"0")))</f>
        <v>3425000000</v>
      </c>
      <c r="N283" s="43">
        <f t="shared" si="4"/>
        <v>218750.00000000003</v>
      </c>
      <c r="O283" s="416" t="s">
        <v>672</v>
      </c>
      <c r="P283" s="416" t="s">
        <v>918</v>
      </c>
      <c r="Q283" s="416" t="s">
        <v>919</v>
      </c>
      <c r="R283" s="417">
        <v>41136</v>
      </c>
      <c r="S283" s="417">
        <v>42962</v>
      </c>
      <c r="T283" s="417">
        <v>42962</v>
      </c>
      <c r="U283" s="416">
        <v>0.875</v>
      </c>
      <c r="V283" s="418">
        <v>25000</v>
      </c>
      <c r="W283" s="419">
        <v>25000000</v>
      </c>
      <c r="X283" s="416" t="s">
        <v>666</v>
      </c>
      <c r="Y283" s="416" t="s">
        <v>677</v>
      </c>
      <c r="Z283" s="416" t="s">
        <v>920</v>
      </c>
      <c r="AA283" s="419">
        <v>27343.75</v>
      </c>
      <c r="AB283" s="419">
        <v>24998000</v>
      </c>
      <c r="AC283" s="416" t="s">
        <v>666</v>
      </c>
      <c r="AH283" s="54"/>
    </row>
    <row r="284" spans="1:39">
      <c r="A284" s="415">
        <v>4</v>
      </c>
      <c r="B284" s="415" t="s">
        <v>338</v>
      </c>
      <c r="C284" s="415">
        <v>85</v>
      </c>
      <c r="D284" s="415" t="s">
        <v>613</v>
      </c>
      <c r="E284" s="415">
        <v>10</v>
      </c>
      <c r="F284" s="415" t="s">
        <v>305</v>
      </c>
      <c r="G284" s="415">
        <v>15</v>
      </c>
      <c r="H284" s="415" t="s">
        <v>471</v>
      </c>
      <c r="I284" s="415" t="s">
        <v>449</v>
      </c>
      <c r="J284" s="415" t="s">
        <v>450</v>
      </c>
      <c r="K284" s="415">
        <v>12081507</v>
      </c>
      <c r="L284" s="41">
        <f>VLOOKUP(K284,WebPosting!$B$6:$B$561,1,FALSE)</f>
        <v>12081507</v>
      </c>
      <c r="M284" s="46">
        <f>(($V284*1000)*(IFERROR($T284-WebPosting!$K$1,"0")))</f>
        <v>3425000000</v>
      </c>
      <c r="N284" s="43">
        <f t="shared" si="4"/>
        <v>218750.00000000003</v>
      </c>
      <c r="O284" s="416" t="s">
        <v>672</v>
      </c>
      <c r="P284" s="416" t="s">
        <v>921</v>
      </c>
      <c r="Q284" s="416" t="s">
        <v>922</v>
      </c>
      <c r="R284" s="417">
        <v>41136</v>
      </c>
      <c r="S284" s="417">
        <v>42962</v>
      </c>
      <c r="T284" s="417">
        <v>42962</v>
      </c>
      <c r="U284" s="416">
        <v>0.875</v>
      </c>
      <c r="V284" s="418">
        <v>25000</v>
      </c>
      <c r="W284" s="419">
        <v>25000000</v>
      </c>
      <c r="X284" s="416" t="s">
        <v>666</v>
      </c>
      <c r="Y284" s="416" t="s">
        <v>677</v>
      </c>
      <c r="Z284" s="416" t="s">
        <v>920</v>
      </c>
      <c r="AA284" s="419">
        <v>27343.75</v>
      </c>
      <c r="AB284" s="419">
        <v>24998000</v>
      </c>
      <c r="AC284" s="416" t="s">
        <v>666</v>
      </c>
      <c r="AH284" s="54"/>
    </row>
    <row r="285" spans="1:39">
      <c r="A285" s="415">
        <v>4</v>
      </c>
      <c r="B285" s="415" t="s">
        <v>338</v>
      </c>
      <c r="C285" s="415">
        <v>85</v>
      </c>
      <c r="D285" s="415" t="s">
        <v>613</v>
      </c>
      <c r="E285" s="415">
        <v>10</v>
      </c>
      <c r="F285" s="415" t="s">
        <v>305</v>
      </c>
      <c r="G285" s="415">
        <v>15</v>
      </c>
      <c r="H285" s="415" t="s">
        <v>471</v>
      </c>
      <c r="I285" s="415" t="s">
        <v>449</v>
      </c>
      <c r="J285" s="415" t="s">
        <v>450</v>
      </c>
      <c r="K285" s="415">
        <v>13052815</v>
      </c>
      <c r="L285" s="41">
        <f>VLOOKUP(K285,WebPosting!$B$6:$B$561,1,FALSE)</f>
        <v>13052815</v>
      </c>
      <c r="M285" s="46">
        <f>(($V285*1000)*(IFERROR($T285-WebPosting!$K$1,"0")))</f>
        <v>6050000000</v>
      </c>
      <c r="N285" s="43">
        <f t="shared" si="4"/>
        <v>187500</v>
      </c>
      <c r="O285" s="416" t="s">
        <v>672</v>
      </c>
      <c r="P285" s="416" t="s">
        <v>921</v>
      </c>
      <c r="Q285" s="416" t="s">
        <v>922</v>
      </c>
      <c r="R285" s="417">
        <v>41422</v>
      </c>
      <c r="S285" s="417">
        <v>43067</v>
      </c>
      <c r="T285" s="417">
        <v>43067</v>
      </c>
      <c r="U285" s="416">
        <v>0.75</v>
      </c>
      <c r="V285" s="418">
        <v>25000</v>
      </c>
      <c r="W285" s="419">
        <v>25000000</v>
      </c>
      <c r="X285" s="416" t="s">
        <v>666</v>
      </c>
      <c r="Y285" s="416" t="s">
        <v>677</v>
      </c>
      <c r="Z285" s="416" t="s">
        <v>923</v>
      </c>
      <c r="AA285" s="419">
        <v>63541.67</v>
      </c>
      <c r="AB285" s="419">
        <v>24949750</v>
      </c>
      <c r="AC285" s="416" t="s">
        <v>666</v>
      </c>
      <c r="AH285" s="54"/>
    </row>
    <row r="286" spans="1:39">
      <c r="A286" s="415">
        <v>4</v>
      </c>
      <c r="B286" s="415" t="s">
        <v>338</v>
      </c>
      <c r="C286" s="415">
        <v>85</v>
      </c>
      <c r="D286" s="415" t="s">
        <v>613</v>
      </c>
      <c r="E286" s="415">
        <v>10</v>
      </c>
      <c r="F286" s="415" t="s">
        <v>305</v>
      </c>
      <c r="G286" s="415">
        <v>15</v>
      </c>
      <c r="H286" s="415" t="s">
        <v>471</v>
      </c>
      <c r="I286" s="415" t="s">
        <v>449</v>
      </c>
      <c r="J286" s="415" t="s">
        <v>450</v>
      </c>
      <c r="K286" s="415">
        <v>13052901</v>
      </c>
      <c r="L286" s="41">
        <f>VLOOKUP(K286,WebPosting!$B$6:$B$561,1,FALSE)</f>
        <v>13052901</v>
      </c>
      <c r="M286" s="46">
        <f>(($V286*1000)*(IFERROR($T286-WebPosting!$K$1,"0")))</f>
        <v>6050000000</v>
      </c>
      <c r="N286" s="43">
        <f t="shared" si="4"/>
        <v>187500</v>
      </c>
      <c r="O286" s="416" t="s">
        <v>672</v>
      </c>
      <c r="P286" s="416" t="s">
        <v>921</v>
      </c>
      <c r="Q286" s="416" t="s">
        <v>922</v>
      </c>
      <c r="R286" s="417">
        <v>41422</v>
      </c>
      <c r="S286" s="417">
        <v>43067</v>
      </c>
      <c r="T286" s="417">
        <v>43067</v>
      </c>
      <c r="U286" s="416">
        <v>0.75</v>
      </c>
      <c r="V286" s="418">
        <v>25000</v>
      </c>
      <c r="W286" s="419">
        <v>25000000</v>
      </c>
      <c r="X286" s="416" t="s">
        <v>666</v>
      </c>
      <c r="Y286" s="416" t="s">
        <v>677</v>
      </c>
      <c r="Z286" s="416" t="s">
        <v>923</v>
      </c>
      <c r="AA286" s="419">
        <v>63541.67</v>
      </c>
      <c r="AB286" s="419">
        <v>24949750</v>
      </c>
      <c r="AC286" s="416" t="s">
        <v>666</v>
      </c>
      <c r="AH286" s="54"/>
    </row>
    <row r="287" spans="1:39">
      <c r="A287" s="415">
        <v>4</v>
      </c>
      <c r="B287" s="415" t="s">
        <v>338</v>
      </c>
      <c r="C287" s="415">
        <v>85</v>
      </c>
      <c r="D287" s="415" t="s">
        <v>613</v>
      </c>
      <c r="E287" s="415">
        <v>10</v>
      </c>
      <c r="F287" s="415" t="s">
        <v>305</v>
      </c>
      <c r="G287" s="415">
        <v>15</v>
      </c>
      <c r="H287" s="415" t="s">
        <v>471</v>
      </c>
      <c r="I287" s="415" t="s">
        <v>449</v>
      </c>
      <c r="J287" s="415" t="s">
        <v>450</v>
      </c>
      <c r="K287" s="415">
        <v>16060716</v>
      </c>
      <c r="L287" s="41">
        <f>VLOOKUP(K287,WebPosting!$B$6:$B$561,1,FALSE)</f>
        <v>16060716</v>
      </c>
      <c r="M287" s="46">
        <f>(($V287*1000)*(IFERROR($T287-WebPosting!$K$1,"0")))</f>
        <v>6275000000</v>
      </c>
      <c r="N287" s="43">
        <f t="shared" si="4"/>
        <v>218750.00000000003</v>
      </c>
      <c r="O287" s="416" t="s">
        <v>672</v>
      </c>
      <c r="P287" s="416" t="s">
        <v>862</v>
      </c>
      <c r="Q287" s="416" t="s">
        <v>863</v>
      </c>
      <c r="R287" s="417">
        <v>42528</v>
      </c>
      <c r="S287" s="417">
        <v>43076</v>
      </c>
      <c r="T287" s="417">
        <v>43076</v>
      </c>
      <c r="U287" s="416">
        <v>0.875</v>
      </c>
      <c r="V287" s="418">
        <v>25000</v>
      </c>
      <c r="W287" s="419">
        <v>25000000</v>
      </c>
      <c r="X287" s="416" t="s">
        <v>666</v>
      </c>
      <c r="Y287" s="416" t="s">
        <v>677</v>
      </c>
      <c r="Z287" s="416" t="s">
        <v>924</v>
      </c>
      <c r="AA287" s="419">
        <v>68663.199999999997</v>
      </c>
      <c r="AB287" s="419">
        <v>24997750</v>
      </c>
      <c r="AC287" s="416" t="s">
        <v>666</v>
      </c>
      <c r="AH287" s="54"/>
    </row>
    <row r="288" spans="1:39">
      <c r="A288" s="415">
        <v>4</v>
      </c>
      <c r="B288" s="415" t="s">
        <v>338</v>
      </c>
      <c r="C288" s="415">
        <v>85</v>
      </c>
      <c r="D288" s="415" t="s">
        <v>613</v>
      </c>
      <c r="E288" s="415">
        <v>10</v>
      </c>
      <c r="F288" s="415" t="s">
        <v>305</v>
      </c>
      <c r="G288" s="415">
        <v>15</v>
      </c>
      <c r="H288" s="415" t="s">
        <v>471</v>
      </c>
      <c r="I288" s="415" t="s">
        <v>449</v>
      </c>
      <c r="J288" s="415" t="s">
        <v>450</v>
      </c>
      <c r="K288" s="415">
        <v>16062712</v>
      </c>
      <c r="L288" s="41">
        <f>VLOOKUP(K288,WebPosting!$B$6:$B$561,1,FALSE)</f>
        <v>16062712</v>
      </c>
      <c r="M288" s="46">
        <f>(($V288*1000)*(IFERROR($T288-WebPosting!$K$1,"0")))</f>
        <v>6775000000</v>
      </c>
      <c r="N288" s="43">
        <f t="shared" si="4"/>
        <v>218750.00000000003</v>
      </c>
      <c r="O288" s="416" t="s">
        <v>672</v>
      </c>
      <c r="P288" s="416" t="s">
        <v>862</v>
      </c>
      <c r="Q288" s="416" t="s">
        <v>863</v>
      </c>
      <c r="R288" s="417">
        <v>42548</v>
      </c>
      <c r="S288" s="417">
        <v>43096</v>
      </c>
      <c r="T288" s="417">
        <v>43096</v>
      </c>
      <c r="U288" s="416">
        <v>0.875</v>
      </c>
      <c r="V288" s="418">
        <v>25000</v>
      </c>
      <c r="W288" s="419">
        <v>25000000</v>
      </c>
      <c r="X288" s="416" t="s">
        <v>666</v>
      </c>
      <c r="Y288" s="416" t="s">
        <v>677</v>
      </c>
      <c r="Z288" s="416" t="s">
        <v>925</v>
      </c>
      <c r="AA288" s="419">
        <v>56510.43</v>
      </c>
      <c r="AB288" s="419">
        <v>24984500</v>
      </c>
      <c r="AC288" s="416" t="s">
        <v>666</v>
      </c>
      <c r="AH288" s="54"/>
    </row>
    <row r="289" spans="1:34" s="44" customFormat="1">
      <c r="A289" s="415">
        <v>4</v>
      </c>
      <c r="B289" s="415" t="s">
        <v>338</v>
      </c>
      <c r="C289" s="415">
        <v>85</v>
      </c>
      <c r="D289" s="415" t="s">
        <v>613</v>
      </c>
      <c r="E289" s="415">
        <v>10</v>
      </c>
      <c r="F289" s="415" t="s">
        <v>305</v>
      </c>
      <c r="G289" s="415">
        <v>15</v>
      </c>
      <c r="H289" s="415" t="s">
        <v>471</v>
      </c>
      <c r="I289" s="415" t="s">
        <v>449</v>
      </c>
      <c r="J289" s="415" t="s">
        <v>450</v>
      </c>
      <c r="K289" s="415">
        <v>16062810</v>
      </c>
      <c r="L289" s="41">
        <f>VLOOKUP(K289,WebPosting!$B$6:$B$561,1,FALSE)</f>
        <v>16062810</v>
      </c>
      <c r="M289" s="46">
        <f>(($V289*1000)*(IFERROR($T289-WebPosting!$K$1,"0")))</f>
        <v>6800000000</v>
      </c>
      <c r="N289" s="43">
        <f t="shared" si="4"/>
        <v>200000</v>
      </c>
      <c r="O289" s="416" t="s">
        <v>672</v>
      </c>
      <c r="P289" s="416" t="s">
        <v>926</v>
      </c>
      <c r="Q289" s="416" t="s">
        <v>927</v>
      </c>
      <c r="R289" s="417">
        <v>42549</v>
      </c>
      <c r="S289" s="417">
        <v>43097</v>
      </c>
      <c r="T289" s="417">
        <v>43097</v>
      </c>
      <c r="U289" s="416">
        <v>0.8</v>
      </c>
      <c r="V289" s="418">
        <v>25000</v>
      </c>
      <c r="W289" s="419">
        <v>25000000</v>
      </c>
      <c r="X289" s="416" t="s">
        <v>666</v>
      </c>
      <c r="Y289" s="416" t="s">
        <v>677</v>
      </c>
      <c r="Z289" s="416" t="s">
        <v>928</v>
      </c>
      <c r="AA289" s="419">
        <v>51111.12</v>
      </c>
      <c r="AB289" s="419">
        <v>24950250</v>
      </c>
      <c r="AC289" s="416" t="s">
        <v>666</v>
      </c>
      <c r="AH289" s="57"/>
    </row>
    <row r="290" spans="1:34" s="44" customFormat="1">
      <c r="A290" s="415">
        <v>4</v>
      </c>
      <c r="B290" s="415" t="s">
        <v>338</v>
      </c>
      <c r="C290" s="415">
        <v>85</v>
      </c>
      <c r="D290" s="415" t="s">
        <v>613</v>
      </c>
      <c r="E290" s="415">
        <v>10</v>
      </c>
      <c r="F290" s="415" t="s">
        <v>305</v>
      </c>
      <c r="G290" s="415">
        <v>15</v>
      </c>
      <c r="H290" s="415" t="s">
        <v>471</v>
      </c>
      <c r="I290" s="415" t="s">
        <v>449</v>
      </c>
      <c r="J290" s="415" t="s">
        <v>450</v>
      </c>
      <c r="K290" s="415">
        <v>16042615</v>
      </c>
      <c r="L290" s="41">
        <f>VLOOKUP(K290,WebPosting!$B$6:$B$561,1,FALSE)</f>
        <v>16042615</v>
      </c>
      <c r="M290" s="46">
        <f>(($V290*1000)*(IFERROR($T290-WebPosting!$K$1,"0")))</f>
        <v>7525000000</v>
      </c>
      <c r="N290" s="43">
        <f t="shared" si="4"/>
        <v>225000.00000000003</v>
      </c>
      <c r="O290" s="416" t="s">
        <v>672</v>
      </c>
      <c r="P290" s="416" t="s">
        <v>929</v>
      </c>
      <c r="Q290" s="416" t="s">
        <v>930</v>
      </c>
      <c r="R290" s="417">
        <v>42486</v>
      </c>
      <c r="S290" s="417">
        <v>43126</v>
      </c>
      <c r="T290" s="417">
        <v>43126</v>
      </c>
      <c r="U290" s="416">
        <v>0.9</v>
      </c>
      <c r="V290" s="418">
        <v>25000</v>
      </c>
      <c r="W290" s="419">
        <v>25000000</v>
      </c>
      <c r="X290" s="416" t="s">
        <v>666</v>
      </c>
      <c r="Y290" s="416" t="s">
        <v>677</v>
      </c>
      <c r="Z290" s="416" t="s">
        <v>931</v>
      </c>
      <c r="AA290" s="419">
        <v>40000</v>
      </c>
      <c r="AB290" s="419">
        <v>24948750</v>
      </c>
      <c r="AC290" s="416" t="s">
        <v>666</v>
      </c>
      <c r="AG290" s="58"/>
      <c r="AH290" s="57"/>
    </row>
    <row r="291" spans="1:34" s="44" customFormat="1">
      <c r="A291" s="415">
        <v>4</v>
      </c>
      <c r="B291" s="415" t="s">
        <v>338</v>
      </c>
      <c r="C291" s="415">
        <v>85</v>
      </c>
      <c r="D291" s="415" t="s">
        <v>613</v>
      </c>
      <c r="E291" s="415">
        <v>10</v>
      </c>
      <c r="F291" s="415" t="s">
        <v>305</v>
      </c>
      <c r="G291" s="415">
        <v>15</v>
      </c>
      <c r="H291" s="415" t="s">
        <v>471</v>
      </c>
      <c r="I291" s="415" t="s">
        <v>449</v>
      </c>
      <c r="J291" s="415" t="s">
        <v>450</v>
      </c>
      <c r="K291" s="415">
        <v>17032001</v>
      </c>
      <c r="L291" s="41">
        <f>VLOOKUP(K291,WebPosting!$B$6:$B$561,1,FALSE)</f>
        <v>17032001</v>
      </c>
      <c r="M291" s="46">
        <f>(($V291*1000)*(IFERROR($T291-WebPosting!$K$1,"0")))</f>
        <v>9350000000</v>
      </c>
      <c r="N291" s="43">
        <f t="shared" si="4"/>
        <v>187500</v>
      </c>
      <c r="O291" s="416" t="s">
        <v>672</v>
      </c>
      <c r="P291" s="416" t="s">
        <v>675</v>
      </c>
      <c r="Q291" s="416" t="s">
        <v>676</v>
      </c>
      <c r="R291" s="417">
        <v>42814</v>
      </c>
      <c r="S291" s="417">
        <v>43199</v>
      </c>
      <c r="T291" s="417">
        <v>43199</v>
      </c>
      <c r="U291" s="416">
        <v>0.75</v>
      </c>
      <c r="V291" s="418">
        <v>25000</v>
      </c>
      <c r="W291" s="419">
        <v>25000000</v>
      </c>
      <c r="X291" s="416" t="s">
        <v>666</v>
      </c>
      <c r="Y291" s="416" t="s">
        <v>677</v>
      </c>
      <c r="Z291" s="416" t="s">
        <v>932</v>
      </c>
      <c r="AA291" s="419">
        <v>7721.93</v>
      </c>
      <c r="AB291" s="419">
        <v>24904500</v>
      </c>
      <c r="AC291" s="416" t="s">
        <v>666</v>
      </c>
      <c r="AG291" s="58"/>
      <c r="AH291" s="57"/>
    </row>
    <row r="292" spans="1:34" s="44" customFormat="1">
      <c r="A292" s="415">
        <v>4</v>
      </c>
      <c r="B292" s="415" t="s">
        <v>338</v>
      </c>
      <c r="C292" s="415">
        <v>85</v>
      </c>
      <c r="D292" s="415" t="s">
        <v>613</v>
      </c>
      <c r="E292" s="415">
        <v>10</v>
      </c>
      <c r="F292" s="415" t="s">
        <v>305</v>
      </c>
      <c r="G292" s="415">
        <v>15</v>
      </c>
      <c r="H292" s="415" t="s">
        <v>471</v>
      </c>
      <c r="I292" s="415" t="s">
        <v>449</v>
      </c>
      <c r="J292" s="415" t="s">
        <v>450</v>
      </c>
      <c r="K292" s="415">
        <v>16071909</v>
      </c>
      <c r="L292" s="41">
        <f>VLOOKUP(K292,WebPosting!$B$6:$B$561,1,FALSE)</f>
        <v>16071909</v>
      </c>
      <c r="M292" s="46">
        <f>(($V292*1000)*(IFERROR($T292-WebPosting!$K$1,"0")))</f>
        <v>9600000000</v>
      </c>
      <c r="N292" s="43">
        <f t="shared" si="4"/>
        <v>185000</v>
      </c>
      <c r="O292" s="416" t="s">
        <v>672</v>
      </c>
      <c r="P292" s="416" t="s">
        <v>933</v>
      </c>
      <c r="Q292" s="416" t="s">
        <v>934</v>
      </c>
      <c r="R292" s="417">
        <v>42570</v>
      </c>
      <c r="S292" s="417">
        <v>43209</v>
      </c>
      <c r="T292" s="417">
        <v>43209</v>
      </c>
      <c r="U292" s="416">
        <v>0.74</v>
      </c>
      <c r="V292" s="418">
        <v>25000</v>
      </c>
      <c r="W292" s="419">
        <v>25000000</v>
      </c>
      <c r="X292" s="416" t="s">
        <v>666</v>
      </c>
      <c r="Y292" s="416" t="s">
        <v>677</v>
      </c>
      <c r="Z292" s="416" t="s">
        <v>935</v>
      </c>
      <c r="AA292" s="419">
        <v>36486.120000000003</v>
      </c>
      <c r="AB292" s="419">
        <v>24885250</v>
      </c>
      <c r="AC292" s="416" t="s">
        <v>666</v>
      </c>
      <c r="AG292" s="58"/>
      <c r="AH292" s="57"/>
    </row>
    <row r="293" spans="1:34">
      <c r="A293" s="415">
        <v>4</v>
      </c>
      <c r="B293" s="415" t="s">
        <v>338</v>
      </c>
      <c r="C293" s="415">
        <v>85</v>
      </c>
      <c r="D293" s="415" t="s">
        <v>613</v>
      </c>
      <c r="E293" s="415">
        <v>10</v>
      </c>
      <c r="F293" s="415" t="s">
        <v>305</v>
      </c>
      <c r="G293" s="415">
        <v>15</v>
      </c>
      <c r="H293" s="415" t="s">
        <v>471</v>
      </c>
      <c r="I293" s="415" t="s">
        <v>449</v>
      </c>
      <c r="J293" s="415" t="s">
        <v>450</v>
      </c>
      <c r="K293" s="415">
        <v>16121605</v>
      </c>
      <c r="L293" s="41">
        <f>VLOOKUP(K293,WebPosting!$B$6:$B$561,1,FALSE)</f>
        <v>16121605</v>
      </c>
      <c r="M293" s="46">
        <f>(($V293*1000)*(IFERROR($T293-WebPosting!$K$1,"0")))</f>
        <v>10250000000</v>
      </c>
      <c r="N293" s="43">
        <f t="shared" si="4"/>
        <v>156250</v>
      </c>
      <c r="O293" s="416" t="s">
        <v>672</v>
      </c>
      <c r="P293" s="416" t="s">
        <v>862</v>
      </c>
      <c r="Q293" s="416" t="s">
        <v>863</v>
      </c>
      <c r="R293" s="417">
        <v>42720</v>
      </c>
      <c r="S293" s="417">
        <v>43235</v>
      </c>
      <c r="T293" s="417">
        <v>43235</v>
      </c>
      <c r="U293" s="416">
        <v>0.625</v>
      </c>
      <c r="V293" s="418">
        <v>25000</v>
      </c>
      <c r="W293" s="419">
        <v>25000000</v>
      </c>
      <c r="X293" s="416" t="s">
        <v>666</v>
      </c>
      <c r="Y293" s="416" t="s">
        <v>677</v>
      </c>
      <c r="Z293" s="416" t="s">
        <v>936</v>
      </c>
      <c r="AA293" s="419">
        <v>48203.72</v>
      </c>
      <c r="AB293" s="419">
        <v>24988250</v>
      </c>
      <c r="AC293" s="416" t="s">
        <v>666</v>
      </c>
      <c r="AG293" s="53"/>
      <c r="AH293" s="54"/>
    </row>
    <row r="294" spans="1:34">
      <c r="A294" s="415">
        <v>4</v>
      </c>
      <c r="B294" s="415" t="s">
        <v>338</v>
      </c>
      <c r="C294" s="415">
        <v>85</v>
      </c>
      <c r="D294" s="415" t="s">
        <v>613</v>
      </c>
      <c r="E294" s="415">
        <v>10</v>
      </c>
      <c r="F294" s="415" t="s">
        <v>305</v>
      </c>
      <c r="G294" s="415">
        <v>15</v>
      </c>
      <c r="H294" s="415" t="s">
        <v>471</v>
      </c>
      <c r="I294" s="415" t="s">
        <v>449</v>
      </c>
      <c r="J294" s="415" t="s">
        <v>450</v>
      </c>
      <c r="K294" s="415">
        <v>16072012</v>
      </c>
      <c r="L294" s="41">
        <f>VLOOKUP(K294,WebPosting!$B$6:$B$561,1,FALSE)</f>
        <v>16072012</v>
      </c>
      <c r="M294" s="46">
        <f>(($V294*1000)*(IFERROR($T294-WebPosting!$K$1,"0")))</f>
        <v>16800000000</v>
      </c>
      <c r="N294" s="43">
        <f t="shared" si="4"/>
        <v>175000.00000000003</v>
      </c>
      <c r="O294" s="416" t="s">
        <v>672</v>
      </c>
      <c r="P294" s="416" t="s">
        <v>679</v>
      </c>
      <c r="Q294" s="416" t="s">
        <v>680</v>
      </c>
      <c r="R294" s="417">
        <v>42571</v>
      </c>
      <c r="S294" s="417">
        <v>43665</v>
      </c>
      <c r="T294" s="417">
        <v>43665</v>
      </c>
      <c r="U294" s="416">
        <v>0.875</v>
      </c>
      <c r="V294" s="418">
        <v>20000</v>
      </c>
      <c r="W294" s="419">
        <v>20000000</v>
      </c>
      <c r="X294" s="416" t="s">
        <v>666</v>
      </c>
      <c r="Y294" s="416" t="s">
        <v>677</v>
      </c>
      <c r="Z294" s="416" t="s">
        <v>937</v>
      </c>
      <c r="AA294" s="419">
        <v>37698.68</v>
      </c>
      <c r="AB294" s="419">
        <v>19741200</v>
      </c>
      <c r="AC294" s="416" t="s">
        <v>666</v>
      </c>
      <c r="AH294" s="54"/>
    </row>
    <row r="295" spans="1:34">
      <c r="A295" s="415">
        <v>4</v>
      </c>
      <c r="B295" s="415" t="s">
        <v>338</v>
      </c>
      <c r="C295" s="415">
        <v>85</v>
      </c>
      <c r="D295" s="415" t="s">
        <v>613</v>
      </c>
      <c r="E295" s="415">
        <v>10</v>
      </c>
      <c r="F295" s="415" t="s">
        <v>305</v>
      </c>
      <c r="G295" s="415">
        <v>15</v>
      </c>
      <c r="H295" s="415" t="s">
        <v>471</v>
      </c>
      <c r="I295" s="415" t="s">
        <v>449</v>
      </c>
      <c r="J295" s="415" t="s">
        <v>450</v>
      </c>
      <c r="K295" s="415">
        <v>16072621</v>
      </c>
      <c r="L295" s="41">
        <f>VLOOKUP(K295,WebPosting!$B$6:$B$561,1,FALSE)</f>
        <v>16072621</v>
      </c>
      <c r="M295" s="46">
        <f>(($V295*1000)*(IFERROR($T295-WebPosting!$K$1,"0")))</f>
        <v>21175000000</v>
      </c>
      <c r="N295" s="43">
        <f t="shared" si="4"/>
        <v>287500</v>
      </c>
      <c r="O295" s="416" t="s">
        <v>672</v>
      </c>
      <c r="P295" s="416" t="s">
        <v>675</v>
      </c>
      <c r="Q295" s="416" t="s">
        <v>676</v>
      </c>
      <c r="R295" s="417">
        <v>42577</v>
      </c>
      <c r="S295" s="417">
        <v>43672</v>
      </c>
      <c r="T295" s="417">
        <v>43672</v>
      </c>
      <c r="U295" s="416">
        <v>1.1499999999999999</v>
      </c>
      <c r="V295" s="418">
        <v>25000</v>
      </c>
      <c r="W295" s="419">
        <v>25000000</v>
      </c>
      <c r="X295" s="416" t="s">
        <v>666</v>
      </c>
      <c r="Y295" s="416" t="s">
        <v>677</v>
      </c>
      <c r="Z295" s="416" t="s">
        <v>938</v>
      </c>
      <c r="AA295" s="419">
        <v>51111.1</v>
      </c>
      <c r="AB295" s="419">
        <v>24779500</v>
      </c>
      <c r="AC295" s="416" t="s">
        <v>666</v>
      </c>
      <c r="AG295" s="53"/>
      <c r="AH295" s="54"/>
    </row>
    <row r="296" spans="1:34">
      <c r="A296" s="415">
        <v>4</v>
      </c>
      <c r="B296" s="415" t="s">
        <v>338</v>
      </c>
      <c r="C296" s="415">
        <v>85</v>
      </c>
      <c r="D296" s="415" t="s">
        <v>613</v>
      </c>
      <c r="E296" s="415">
        <v>10</v>
      </c>
      <c r="F296" s="415" t="s">
        <v>305</v>
      </c>
      <c r="G296" s="415">
        <v>15</v>
      </c>
      <c r="H296" s="415" t="s">
        <v>471</v>
      </c>
      <c r="I296" s="415" t="s">
        <v>449</v>
      </c>
      <c r="J296" s="415" t="s">
        <v>450</v>
      </c>
      <c r="K296" s="415">
        <v>17022823</v>
      </c>
      <c r="L296" s="41">
        <f>VLOOKUP(K296,WebPosting!$B$6:$B$561,1,FALSE)</f>
        <v>17022823</v>
      </c>
      <c r="M296" s="46">
        <f>(($V296*1000)*(IFERROR($T296-WebPosting!$K$1,"0")))</f>
        <v>22000000000</v>
      </c>
      <c r="N296" s="43">
        <f t="shared" si="4"/>
        <v>250000</v>
      </c>
      <c r="O296" s="416" t="s">
        <v>672</v>
      </c>
      <c r="P296" s="416" t="s">
        <v>918</v>
      </c>
      <c r="Q296" s="416" t="s">
        <v>919</v>
      </c>
      <c r="R296" s="417">
        <v>42612</v>
      </c>
      <c r="S296" s="417">
        <v>43705</v>
      </c>
      <c r="T296" s="417">
        <v>43705</v>
      </c>
      <c r="U296" s="416">
        <v>1</v>
      </c>
      <c r="V296" s="418">
        <v>25000</v>
      </c>
      <c r="W296" s="419">
        <v>25000000</v>
      </c>
      <c r="X296" s="416" t="s">
        <v>666</v>
      </c>
      <c r="Y296" s="416" t="s">
        <v>677</v>
      </c>
      <c r="Z296" s="416" t="s">
        <v>939</v>
      </c>
      <c r="AA296" s="419">
        <v>22222.22</v>
      </c>
      <c r="AB296" s="419">
        <v>24969000</v>
      </c>
      <c r="AC296" s="416" t="s">
        <v>666</v>
      </c>
      <c r="AG296" s="53"/>
      <c r="AH296" s="54"/>
    </row>
    <row r="297" spans="1:34">
      <c r="A297" s="415">
        <v>4</v>
      </c>
      <c r="B297" s="415" t="s">
        <v>338</v>
      </c>
      <c r="C297" s="415">
        <v>85</v>
      </c>
      <c r="D297" s="415" t="s">
        <v>613</v>
      </c>
      <c r="E297" s="415">
        <v>10</v>
      </c>
      <c r="F297" s="415" t="s">
        <v>305</v>
      </c>
      <c r="G297" s="415">
        <v>15</v>
      </c>
      <c r="H297" s="415" t="s">
        <v>471</v>
      </c>
      <c r="I297" s="415" t="s">
        <v>449</v>
      </c>
      <c r="J297" s="415" t="s">
        <v>450</v>
      </c>
      <c r="K297" s="415">
        <v>16092310</v>
      </c>
      <c r="L297" s="41">
        <f>VLOOKUP(K297,WebPosting!$B$6:$B$561,1,FALSE)</f>
        <v>16092310</v>
      </c>
      <c r="M297" s="46">
        <f>(($V297*1000)*(IFERROR($T297-WebPosting!$K$1,"0")))</f>
        <v>22650000000</v>
      </c>
      <c r="N297" s="43">
        <f t="shared" si="4"/>
        <v>250000</v>
      </c>
      <c r="O297" s="416" t="s">
        <v>672</v>
      </c>
      <c r="P297" s="416" t="s">
        <v>862</v>
      </c>
      <c r="Q297" s="416" t="s">
        <v>863</v>
      </c>
      <c r="R297" s="417">
        <v>42636</v>
      </c>
      <c r="S297" s="417">
        <v>43731</v>
      </c>
      <c r="T297" s="417">
        <v>43731</v>
      </c>
      <c r="U297" s="416">
        <v>1</v>
      </c>
      <c r="V297" s="418">
        <v>25000</v>
      </c>
      <c r="W297" s="419">
        <v>25000000</v>
      </c>
      <c r="X297" s="416" t="s">
        <v>666</v>
      </c>
      <c r="Y297" s="416" t="s">
        <v>677</v>
      </c>
      <c r="Z297" s="416" t="s">
        <v>940</v>
      </c>
      <c r="AA297" s="419">
        <v>4861.1099999999997</v>
      </c>
      <c r="AB297" s="419">
        <v>24963000</v>
      </c>
      <c r="AC297" s="416" t="s">
        <v>666</v>
      </c>
    </row>
    <row r="298" spans="1:34">
      <c r="A298" s="415">
        <v>4</v>
      </c>
      <c r="B298" s="415" t="s">
        <v>338</v>
      </c>
      <c r="C298" s="415">
        <v>85</v>
      </c>
      <c r="D298" s="415" t="s">
        <v>613</v>
      </c>
      <c r="E298" s="415">
        <v>10</v>
      </c>
      <c r="F298" s="415" t="s">
        <v>305</v>
      </c>
      <c r="G298" s="415">
        <v>15</v>
      </c>
      <c r="H298" s="415" t="s">
        <v>471</v>
      </c>
      <c r="I298" s="415" t="s">
        <v>449</v>
      </c>
      <c r="J298" s="415" t="s">
        <v>450</v>
      </c>
      <c r="K298" s="415">
        <v>16072510</v>
      </c>
      <c r="L298" s="41">
        <f>VLOOKUP(K298,WebPosting!$B$6:$B$561,1,FALSE)</f>
        <v>16072510</v>
      </c>
      <c r="M298" s="46">
        <f>(($V298*1000)*(IFERROR($T298-WebPosting!$K$1,"0")))</f>
        <v>23450000000</v>
      </c>
      <c r="N298" s="43">
        <f t="shared" si="4"/>
        <v>281250</v>
      </c>
      <c r="O298" s="416" t="s">
        <v>672</v>
      </c>
      <c r="P298" s="416" t="s">
        <v>862</v>
      </c>
      <c r="Q298" s="416" t="s">
        <v>863</v>
      </c>
      <c r="R298" s="417">
        <v>42576</v>
      </c>
      <c r="S298" s="417">
        <v>43763</v>
      </c>
      <c r="T298" s="417">
        <v>43763</v>
      </c>
      <c r="U298" s="416">
        <v>1.125</v>
      </c>
      <c r="V298" s="418">
        <v>25000</v>
      </c>
      <c r="W298" s="419">
        <v>25000000</v>
      </c>
      <c r="X298" s="416" t="s">
        <v>666</v>
      </c>
      <c r="Y298" s="416" t="s">
        <v>677</v>
      </c>
      <c r="Z298" s="416" t="s">
        <v>941</v>
      </c>
      <c r="AA298" s="419">
        <v>50781.25</v>
      </c>
      <c r="AB298" s="419">
        <v>24883750</v>
      </c>
      <c r="AC298" s="416" t="s">
        <v>666</v>
      </c>
      <c r="AG298" s="53"/>
      <c r="AH298" s="54"/>
    </row>
    <row r="299" spans="1:34">
      <c r="A299" s="415">
        <v>4</v>
      </c>
      <c r="B299" s="415" t="s">
        <v>338</v>
      </c>
      <c r="C299" s="415">
        <v>85</v>
      </c>
      <c r="D299" s="415" t="s">
        <v>613</v>
      </c>
      <c r="E299" s="415">
        <v>10</v>
      </c>
      <c r="F299" s="415" t="s">
        <v>305</v>
      </c>
      <c r="G299" s="415">
        <v>15</v>
      </c>
      <c r="H299" s="415" t="s">
        <v>471</v>
      </c>
      <c r="I299" s="415" t="s">
        <v>449</v>
      </c>
      <c r="J299" s="415" t="s">
        <v>450</v>
      </c>
      <c r="K299" s="415">
        <v>16082503</v>
      </c>
      <c r="L299" s="41">
        <f>VLOOKUP(K299,WebPosting!$B$6:$B$561,1,FALSE)</f>
        <v>16082503</v>
      </c>
      <c r="M299" s="46">
        <f>(($V299*1000)*(IFERROR($T299-WebPosting!$K$1,"0")))</f>
        <v>26500000000</v>
      </c>
      <c r="N299" s="43">
        <f t="shared" si="4"/>
        <v>250000</v>
      </c>
      <c r="O299" s="416" t="s">
        <v>672</v>
      </c>
      <c r="P299" s="416" t="s">
        <v>862</v>
      </c>
      <c r="Q299" s="416" t="s">
        <v>863</v>
      </c>
      <c r="R299" s="417">
        <v>42606</v>
      </c>
      <c r="S299" s="417">
        <v>43885</v>
      </c>
      <c r="T299" s="417">
        <v>43885</v>
      </c>
      <c r="U299" s="416">
        <v>1</v>
      </c>
      <c r="V299" s="418">
        <v>25000</v>
      </c>
      <c r="W299" s="419">
        <v>25000000</v>
      </c>
      <c r="X299" s="416" t="s">
        <v>666</v>
      </c>
      <c r="Y299" s="416" t="s">
        <v>677</v>
      </c>
      <c r="Z299" s="416" t="s">
        <v>942</v>
      </c>
      <c r="AA299" s="419">
        <v>25000</v>
      </c>
      <c r="AB299" s="419">
        <v>24832500</v>
      </c>
      <c r="AC299" s="416" t="s">
        <v>666</v>
      </c>
      <c r="AG299" s="53"/>
      <c r="AH299" s="54"/>
    </row>
    <row r="300" spans="1:34">
      <c r="A300" s="415">
        <v>4</v>
      </c>
      <c r="B300" s="415" t="s">
        <v>338</v>
      </c>
      <c r="C300" s="415">
        <v>85</v>
      </c>
      <c r="D300" s="415" t="s">
        <v>613</v>
      </c>
      <c r="E300" s="415">
        <v>10</v>
      </c>
      <c r="F300" s="415" t="s">
        <v>305</v>
      </c>
      <c r="G300" s="415">
        <v>15</v>
      </c>
      <c r="H300" s="415" t="s">
        <v>471</v>
      </c>
      <c r="I300" s="415" t="s">
        <v>449</v>
      </c>
      <c r="J300" s="415" t="s">
        <v>450</v>
      </c>
      <c r="K300" s="415">
        <v>16092905</v>
      </c>
      <c r="L300" s="41">
        <f>VLOOKUP(K300,WebPosting!$B$6:$B$561,1,FALSE)</f>
        <v>16092905</v>
      </c>
      <c r="M300" s="46">
        <f>(($V300*1000)*(IFERROR($T300-WebPosting!$K$1,"0")))</f>
        <v>31950000000</v>
      </c>
      <c r="N300" s="43">
        <f t="shared" si="4"/>
        <v>250000</v>
      </c>
      <c r="O300" s="416" t="s">
        <v>672</v>
      </c>
      <c r="P300" s="416" t="s">
        <v>905</v>
      </c>
      <c r="Q300" s="416" t="s">
        <v>906</v>
      </c>
      <c r="R300" s="417">
        <v>42642</v>
      </c>
      <c r="S300" s="417">
        <v>44103</v>
      </c>
      <c r="T300" s="417">
        <v>44103</v>
      </c>
      <c r="U300" s="416">
        <v>1</v>
      </c>
      <c r="V300" s="418">
        <v>25000</v>
      </c>
      <c r="W300" s="419">
        <v>25000000</v>
      </c>
      <c r="X300" s="416" t="s">
        <v>666</v>
      </c>
      <c r="Y300" s="416" t="s">
        <v>677</v>
      </c>
      <c r="Z300" s="416" t="s">
        <v>943</v>
      </c>
      <c r="AA300" s="416">
        <v>694.44</v>
      </c>
      <c r="AB300" s="419">
        <v>24833750</v>
      </c>
      <c r="AC300" s="416" t="s">
        <v>666</v>
      </c>
      <c r="AG300" s="53"/>
      <c r="AH300" s="54"/>
    </row>
    <row r="301" spans="1:34">
      <c r="A301" s="415">
        <v>4</v>
      </c>
      <c r="B301" s="415" t="s">
        <v>338</v>
      </c>
      <c r="C301" s="415">
        <v>85</v>
      </c>
      <c r="D301" s="415" t="s">
        <v>613</v>
      </c>
      <c r="E301" s="415">
        <v>10</v>
      </c>
      <c r="F301" s="415" t="s">
        <v>305</v>
      </c>
      <c r="G301" s="415">
        <v>15</v>
      </c>
      <c r="H301" s="415" t="s">
        <v>471</v>
      </c>
      <c r="I301" s="415" t="s">
        <v>449</v>
      </c>
      <c r="J301" s="415" t="s">
        <v>450</v>
      </c>
      <c r="K301" s="415">
        <v>16072712</v>
      </c>
      <c r="L301" s="41">
        <f>VLOOKUP(K301,WebPosting!$B$6:$B$561,1,FALSE)</f>
        <v>16072712</v>
      </c>
      <c r="M301" s="46">
        <f>(($V301*1000)*(IFERROR($T301-WebPosting!$K$1,"0")))</f>
        <v>39475000000</v>
      </c>
      <c r="N301" s="43">
        <f t="shared" si="4"/>
        <v>275000</v>
      </c>
      <c r="O301" s="416" t="s">
        <v>672</v>
      </c>
      <c r="P301" s="416" t="s">
        <v>933</v>
      </c>
      <c r="Q301" s="416" t="s">
        <v>934</v>
      </c>
      <c r="R301" s="417">
        <v>42578</v>
      </c>
      <c r="S301" s="417">
        <v>44404</v>
      </c>
      <c r="T301" s="417">
        <v>44404</v>
      </c>
      <c r="U301" s="416">
        <v>1.1000000000000001</v>
      </c>
      <c r="V301" s="418">
        <v>25000</v>
      </c>
      <c r="W301" s="419">
        <v>25000000</v>
      </c>
      <c r="X301" s="416" t="s">
        <v>666</v>
      </c>
      <c r="Y301" s="416" t="s">
        <v>677</v>
      </c>
      <c r="Z301" s="416" t="s">
        <v>944</v>
      </c>
      <c r="AA301" s="419">
        <v>48125.01</v>
      </c>
      <c r="AB301" s="419">
        <v>24575750</v>
      </c>
      <c r="AC301" s="416" t="s">
        <v>666</v>
      </c>
    </row>
    <row r="302" spans="1:34">
      <c r="A302" s="415">
        <v>4</v>
      </c>
      <c r="B302" s="415" t="s">
        <v>338</v>
      </c>
      <c r="C302" s="415">
        <v>85</v>
      </c>
      <c r="D302" s="415" t="s">
        <v>613</v>
      </c>
      <c r="E302" s="415">
        <v>10</v>
      </c>
      <c r="F302" s="415" t="s">
        <v>305</v>
      </c>
      <c r="G302" s="415">
        <v>15</v>
      </c>
      <c r="H302" s="415" t="s">
        <v>471</v>
      </c>
      <c r="I302" s="415" t="s">
        <v>449</v>
      </c>
      <c r="J302" s="415" t="s">
        <v>450</v>
      </c>
      <c r="K302" s="415">
        <v>16082314</v>
      </c>
      <c r="L302" s="41">
        <f>VLOOKUP(K302,WebPosting!$B$6:$B$561,1,FALSE)</f>
        <v>16082314</v>
      </c>
      <c r="M302" s="46">
        <f>(($V302*1000)*(IFERROR($T302-WebPosting!$K$1,"0")))</f>
        <v>40150000000</v>
      </c>
      <c r="N302" s="43">
        <f t="shared" si="4"/>
        <v>250000</v>
      </c>
      <c r="O302" s="416" t="s">
        <v>672</v>
      </c>
      <c r="P302" s="416" t="s">
        <v>679</v>
      </c>
      <c r="Q302" s="416" t="s">
        <v>680</v>
      </c>
      <c r="R302" s="417">
        <v>42605</v>
      </c>
      <c r="S302" s="417">
        <v>44431</v>
      </c>
      <c r="T302" s="417">
        <v>44431</v>
      </c>
      <c r="U302" s="416">
        <v>1</v>
      </c>
      <c r="V302" s="418">
        <v>25000</v>
      </c>
      <c r="W302" s="419">
        <v>25000000</v>
      </c>
      <c r="X302" s="416" t="s">
        <v>666</v>
      </c>
      <c r="Y302" s="416" t="s">
        <v>677</v>
      </c>
      <c r="Z302" s="416" t="s">
        <v>945</v>
      </c>
      <c r="AA302" s="419">
        <v>25694.44</v>
      </c>
      <c r="AB302" s="419">
        <v>24827500</v>
      </c>
      <c r="AC302" s="416" t="s">
        <v>666</v>
      </c>
    </row>
    <row r="303" spans="1:34">
      <c r="A303" s="415">
        <v>4</v>
      </c>
      <c r="B303" s="415" t="s">
        <v>338</v>
      </c>
      <c r="C303" s="415">
        <v>85</v>
      </c>
      <c r="D303" s="415" t="s">
        <v>613</v>
      </c>
      <c r="E303" s="415">
        <v>10</v>
      </c>
      <c r="F303" s="415" t="s">
        <v>305</v>
      </c>
      <c r="G303" s="415">
        <v>15</v>
      </c>
      <c r="H303" s="415" t="s">
        <v>471</v>
      </c>
      <c r="I303" s="415" t="s">
        <v>449</v>
      </c>
      <c r="J303" s="415" t="s">
        <v>450</v>
      </c>
      <c r="K303" s="415">
        <v>16082406</v>
      </c>
      <c r="L303" s="41">
        <f>VLOOKUP(K303,WebPosting!$B$6:$B$561,1,FALSE)</f>
        <v>16082406</v>
      </c>
      <c r="M303" s="46">
        <f>(($V303*1000)*(IFERROR($T303-WebPosting!$K$1,"0")))</f>
        <v>40175000000</v>
      </c>
      <c r="N303" s="43">
        <f t="shared" si="4"/>
        <v>312500</v>
      </c>
      <c r="O303" s="416" t="s">
        <v>672</v>
      </c>
      <c r="P303" s="416" t="s">
        <v>683</v>
      </c>
      <c r="Q303" s="416" t="s">
        <v>684</v>
      </c>
      <c r="R303" s="417">
        <v>42606</v>
      </c>
      <c r="S303" s="417">
        <v>44432</v>
      </c>
      <c r="T303" s="417">
        <v>44432</v>
      </c>
      <c r="U303" s="416">
        <v>1.25</v>
      </c>
      <c r="V303" s="418">
        <v>25000</v>
      </c>
      <c r="W303" s="419">
        <v>25000000</v>
      </c>
      <c r="X303" s="416" t="s">
        <v>666</v>
      </c>
      <c r="Y303" s="416" t="s">
        <v>677</v>
      </c>
      <c r="Z303" s="416" t="s">
        <v>946</v>
      </c>
      <c r="AA303" s="419">
        <v>31250</v>
      </c>
      <c r="AB303" s="419">
        <v>24647500</v>
      </c>
      <c r="AC303" s="416" t="s">
        <v>666</v>
      </c>
    </row>
    <row r="304" spans="1:34">
      <c r="A304" s="415">
        <v>4</v>
      </c>
      <c r="B304" s="415" t="s">
        <v>338</v>
      </c>
      <c r="C304" s="415">
        <v>85</v>
      </c>
      <c r="D304" s="415" t="s">
        <v>613</v>
      </c>
      <c r="E304" s="415">
        <v>10</v>
      </c>
      <c r="F304" s="415" t="s">
        <v>305</v>
      </c>
      <c r="G304" s="415">
        <v>15</v>
      </c>
      <c r="H304" s="415" t="s">
        <v>471</v>
      </c>
      <c r="I304" s="415" t="s">
        <v>449</v>
      </c>
      <c r="J304" s="415" t="s">
        <v>450</v>
      </c>
      <c r="K304" s="415">
        <v>16082413</v>
      </c>
      <c r="L304" s="41">
        <f>VLOOKUP(K304,WebPosting!$B$6:$B$561,1,FALSE)</f>
        <v>16082413</v>
      </c>
      <c r="M304" s="46">
        <f>(($V304*1000)*(IFERROR($T304-WebPosting!$K$1,"0")))</f>
        <v>40175000000</v>
      </c>
      <c r="N304" s="43">
        <f t="shared" si="4"/>
        <v>281250</v>
      </c>
      <c r="O304" s="416" t="s">
        <v>672</v>
      </c>
      <c r="P304" s="416" t="s">
        <v>675</v>
      </c>
      <c r="Q304" s="416" t="s">
        <v>676</v>
      </c>
      <c r="R304" s="417">
        <v>42606</v>
      </c>
      <c r="S304" s="417">
        <v>44432</v>
      </c>
      <c r="T304" s="417">
        <v>44432</v>
      </c>
      <c r="U304" s="416">
        <v>1.125</v>
      </c>
      <c r="V304" s="418">
        <v>25000</v>
      </c>
      <c r="W304" s="419">
        <v>25000000</v>
      </c>
      <c r="X304" s="416" t="s">
        <v>666</v>
      </c>
      <c r="Y304" s="416" t="s">
        <v>677</v>
      </c>
      <c r="Z304" s="416" t="s">
        <v>947</v>
      </c>
      <c r="AA304" s="419">
        <v>28125</v>
      </c>
      <c r="AB304" s="419">
        <v>24738750</v>
      </c>
      <c r="AC304" s="416" t="s">
        <v>666</v>
      </c>
    </row>
    <row r="305" spans="1:29">
      <c r="A305" s="415">
        <v>4</v>
      </c>
      <c r="B305" s="415" t="s">
        <v>338</v>
      </c>
      <c r="C305" s="415">
        <v>85</v>
      </c>
      <c r="D305" s="415" t="s">
        <v>613</v>
      </c>
      <c r="E305" s="415">
        <v>10</v>
      </c>
      <c r="F305" s="415" t="s">
        <v>305</v>
      </c>
      <c r="G305" s="415">
        <v>15</v>
      </c>
      <c r="H305" s="415" t="s">
        <v>471</v>
      </c>
      <c r="I305" s="415" t="s">
        <v>449</v>
      </c>
      <c r="J305" s="415" t="s">
        <v>450</v>
      </c>
      <c r="K305" s="415">
        <v>16083009</v>
      </c>
      <c r="L305" s="41">
        <f>VLOOKUP(K305,WebPosting!$B$6:$B$561,1,FALSE)</f>
        <v>16083009</v>
      </c>
      <c r="M305" s="46">
        <f>(($V305*1000)*(IFERROR($T305-WebPosting!$K$1,"0")))</f>
        <v>40250000000</v>
      </c>
      <c r="N305" s="43">
        <f t="shared" si="4"/>
        <v>257500</v>
      </c>
      <c r="O305" s="416" t="s">
        <v>672</v>
      </c>
      <c r="P305" s="416" t="s">
        <v>933</v>
      </c>
      <c r="Q305" s="416" t="s">
        <v>934</v>
      </c>
      <c r="R305" s="417">
        <v>42612</v>
      </c>
      <c r="S305" s="417">
        <v>44435</v>
      </c>
      <c r="T305" s="417">
        <v>44435</v>
      </c>
      <c r="U305" s="416">
        <v>1.03</v>
      </c>
      <c r="V305" s="418">
        <v>25000</v>
      </c>
      <c r="W305" s="419">
        <v>25000000</v>
      </c>
      <c r="X305" s="416" t="s">
        <v>666</v>
      </c>
      <c r="Y305" s="416" t="s">
        <v>677</v>
      </c>
      <c r="Z305" s="416" t="s">
        <v>948</v>
      </c>
      <c r="AA305" s="419">
        <v>23604.16</v>
      </c>
      <c r="AB305" s="419">
        <v>24622000</v>
      </c>
      <c r="AC305" s="416" t="s">
        <v>666</v>
      </c>
    </row>
    <row r="306" spans="1:29">
      <c r="A306" s="415">
        <v>4</v>
      </c>
      <c r="B306" s="415" t="s">
        <v>338</v>
      </c>
      <c r="C306" s="415">
        <v>85</v>
      </c>
      <c r="D306" s="415" t="s">
        <v>613</v>
      </c>
      <c r="E306" s="415">
        <v>10</v>
      </c>
      <c r="F306" s="415" t="s">
        <v>305</v>
      </c>
      <c r="G306" s="415">
        <v>15</v>
      </c>
      <c r="H306" s="415" t="s">
        <v>471</v>
      </c>
      <c r="I306" s="415" t="s">
        <v>449</v>
      </c>
      <c r="J306" s="415" t="s">
        <v>450</v>
      </c>
      <c r="K306" s="415">
        <v>16090107</v>
      </c>
      <c r="L306" s="41">
        <f>VLOOKUP(K306,WebPosting!$B$6:$B$561,1,FALSE)</f>
        <v>16090107</v>
      </c>
      <c r="M306" s="46">
        <f>(($V306*1000)*(IFERROR($T306-WebPosting!$K$1,"0")))</f>
        <v>40375000000</v>
      </c>
      <c r="N306" s="43">
        <f t="shared" si="4"/>
        <v>250000</v>
      </c>
      <c r="O306" s="416" t="s">
        <v>672</v>
      </c>
      <c r="P306" s="416" t="s">
        <v>862</v>
      </c>
      <c r="Q306" s="416" t="s">
        <v>863</v>
      </c>
      <c r="R306" s="417">
        <v>42614</v>
      </c>
      <c r="S306" s="417">
        <v>44440</v>
      </c>
      <c r="T306" s="417">
        <v>44440</v>
      </c>
      <c r="U306" s="416">
        <v>1</v>
      </c>
      <c r="V306" s="418">
        <v>25000</v>
      </c>
      <c r="W306" s="419">
        <v>25000000</v>
      </c>
      <c r="X306" s="416" t="s">
        <v>666</v>
      </c>
      <c r="Y306" s="416" t="s">
        <v>677</v>
      </c>
      <c r="Z306" s="416" t="s">
        <v>949</v>
      </c>
      <c r="AA306" s="419">
        <v>20138.89</v>
      </c>
      <c r="AB306" s="419">
        <v>24783500</v>
      </c>
      <c r="AC306" s="416" t="s">
        <v>666</v>
      </c>
    </row>
    <row r="307" spans="1:29">
      <c r="A307" s="415">
        <v>4</v>
      </c>
      <c r="B307" s="415" t="s">
        <v>338</v>
      </c>
      <c r="C307" s="415">
        <v>85</v>
      </c>
      <c r="D307" s="415" t="s">
        <v>613</v>
      </c>
      <c r="E307" s="415">
        <v>10</v>
      </c>
      <c r="F307" s="415" t="s">
        <v>305</v>
      </c>
      <c r="G307" s="415">
        <v>15</v>
      </c>
      <c r="H307" s="415" t="s">
        <v>471</v>
      </c>
      <c r="I307" s="415" t="s">
        <v>449</v>
      </c>
      <c r="J307" s="415" t="s">
        <v>450</v>
      </c>
      <c r="K307" s="415">
        <v>16090903</v>
      </c>
      <c r="L307" s="41">
        <f>VLOOKUP(K307,WebPosting!$B$6:$B$561,1,FALSE)</f>
        <v>16090903</v>
      </c>
      <c r="M307" s="46">
        <f>(($V307*1000)*(IFERROR($T307-WebPosting!$K$1,"0")))</f>
        <v>40575000000</v>
      </c>
      <c r="N307" s="43">
        <f t="shared" si="4"/>
        <v>349999.99999999994</v>
      </c>
      <c r="O307" s="416" t="s">
        <v>672</v>
      </c>
      <c r="P307" s="416" t="s">
        <v>838</v>
      </c>
      <c r="Q307" s="416" t="s">
        <v>839</v>
      </c>
      <c r="R307" s="417">
        <v>42622</v>
      </c>
      <c r="S307" s="417">
        <v>44448</v>
      </c>
      <c r="T307" s="417">
        <v>44448</v>
      </c>
      <c r="U307" s="416">
        <v>1.4</v>
      </c>
      <c r="V307" s="418">
        <v>25000</v>
      </c>
      <c r="W307" s="419">
        <v>25000000</v>
      </c>
      <c r="X307" s="416" t="s">
        <v>666</v>
      </c>
      <c r="Y307" s="416" t="s">
        <v>677</v>
      </c>
      <c r="Z307" s="416" t="s">
        <v>950</v>
      </c>
      <c r="AA307" s="419">
        <v>20416.669999999998</v>
      </c>
      <c r="AB307" s="419">
        <v>24572000</v>
      </c>
      <c r="AC307" s="416" t="s">
        <v>666</v>
      </c>
    </row>
    <row r="308" spans="1:29">
      <c r="A308" s="415">
        <v>4</v>
      </c>
      <c r="B308" s="415" t="s">
        <v>338</v>
      </c>
      <c r="C308" s="415">
        <v>85</v>
      </c>
      <c r="D308" s="415" t="s">
        <v>613</v>
      </c>
      <c r="E308" s="415">
        <v>10</v>
      </c>
      <c r="F308" s="415" t="s">
        <v>305</v>
      </c>
      <c r="G308" s="415">
        <v>15</v>
      </c>
      <c r="H308" s="415" t="s">
        <v>471</v>
      </c>
      <c r="I308" s="415" t="s">
        <v>449</v>
      </c>
      <c r="J308" s="415" t="s">
        <v>450</v>
      </c>
      <c r="K308" s="415">
        <v>16093011</v>
      </c>
      <c r="L308" s="41">
        <f>VLOOKUP(K308,WebPosting!$B$6:$B$561,1,FALSE)</f>
        <v>16093011</v>
      </c>
      <c r="M308" s="46">
        <f>(($V308*1000)*(IFERROR($T308-WebPosting!$K$1,"0")))</f>
        <v>49320000000</v>
      </c>
      <c r="N308" s="43">
        <f t="shared" si="4"/>
        <v>337500</v>
      </c>
      <c r="O308" s="416" t="s">
        <v>672</v>
      </c>
      <c r="P308" s="416" t="s">
        <v>847</v>
      </c>
      <c r="Q308" s="416" t="s">
        <v>848</v>
      </c>
      <c r="R308" s="417">
        <v>42643</v>
      </c>
      <c r="S308" s="417">
        <v>44469</v>
      </c>
      <c r="T308" s="417">
        <v>44469</v>
      </c>
      <c r="U308" s="416">
        <v>1.125</v>
      </c>
      <c r="V308" s="418">
        <v>30000</v>
      </c>
      <c r="W308" s="419">
        <v>30000000</v>
      </c>
      <c r="X308" s="416" t="s">
        <v>666</v>
      </c>
      <c r="Y308" s="416" t="s">
        <v>677</v>
      </c>
      <c r="Z308" s="416" t="s">
        <v>951</v>
      </c>
      <c r="AA308" s="416">
        <v>0</v>
      </c>
      <c r="AB308" s="419">
        <v>29796900</v>
      </c>
      <c r="AC308" s="416" t="s">
        <v>666</v>
      </c>
    </row>
    <row r="309" spans="1:29">
      <c r="A309" s="415">
        <v>4</v>
      </c>
      <c r="B309" s="415" t="s">
        <v>338</v>
      </c>
      <c r="C309" s="415">
        <v>85</v>
      </c>
      <c r="D309" s="415" t="s">
        <v>613</v>
      </c>
      <c r="E309" s="415">
        <v>10</v>
      </c>
      <c r="F309" s="415" t="s">
        <v>305</v>
      </c>
      <c r="G309" s="415">
        <v>15</v>
      </c>
      <c r="H309" s="415" t="s">
        <v>471</v>
      </c>
      <c r="I309" s="415" t="s">
        <v>449</v>
      </c>
      <c r="J309" s="415" t="s">
        <v>450</v>
      </c>
      <c r="K309" s="415">
        <v>16093012</v>
      </c>
      <c r="L309" s="41">
        <f>VLOOKUP(K309,WebPosting!$B$6:$B$561,1,FALSE)</f>
        <v>16093012</v>
      </c>
      <c r="M309" s="46">
        <f>(($V309*1000)*(IFERROR($T309-WebPosting!$K$1,"0")))</f>
        <v>49320000000</v>
      </c>
      <c r="N309" s="43">
        <f t="shared" si="4"/>
        <v>375000</v>
      </c>
      <c r="O309" s="416" t="s">
        <v>672</v>
      </c>
      <c r="P309" s="416" t="s">
        <v>685</v>
      </c>
      <c r="Q309" s="416" t="s">
        <v>686</v>
      </c>
      <c r="R309" s="417">
        <v>42643</v>
      </c>
      <c r="S309" s="417">
        <v>44469</v>
      </c>
      <c r="T309" s="417">
        <v>44469</v>
      </c>
      <c r="U309" s="416">
        <v>1.25</v>
      </c>
      <c r="V309" s="418">
        <v>30000</v>
      </c>
      <c r="W309" s="419">
        <v>30000000</v>
      </c>
      <c r="X309" s="416" t="s">
        <v>666</v>
      </c>
      <c r="Y309" s="416" t="s">
        <v>677</v>
      </c>
      <c r="Z309" s="416" t="s">
        <v>952</v>
      </c>
      <c r="AA309" s="416">
        <v>0</v>
      </c>
      <c r="AB309" s="419">
        <v>29610600</v>
      </c>
      <c r="AC309" s="416" t="s">
        <v>666</v>
      </c>
    </row>
    <row r="310" spans="1:29">
      <c r="A310" s="415">
        <v>4</v>
      </c>
      <c r="B310" s="415" t="s">
        <v>338</v>
      </c>
      <c r="C310" s="415">
        <v>85</v>
      </c>
      <c r="D310" s="415" t="s">
        <v>613</v>
      </c>
      <c r="E310" s="415">
        <v>10</v>
      </c>
      <c r="F310" s="415" t="s">
        <v>305</v>
      </c>
      <c r="G310" s="415">
        <v>15</v>
      </c>
      <c r="H310" s="415" t="s">
        <v>471</v>
      </c>
      <c r="I310" s="415" t="s">
        <v>449</v>
      </c>
      <c r="J310" s="415" t="s">
        <v>450</v>
      </c>
      <c r="K310" s="415">
        <v>17032906</v>
      </c>
      <c r="L310" s="41">
        <f>VLOOKUP(K310,WebPosting!$B$6:$B$561,1,FALSE)</f>
        <v>17032906</v>
      </c>
      <c r="M310" s="46">
        <f>(($V310*1000)*(IFERROR($T310-WebPosting!$K$1,"0")))</f>
        <v>45600000000</v>
      </c>
      <c r="N310" s="43">
        <f t="shared" si="4"/>
        <v>312500</v>
      </c>
      <c r="O310" s="416" t="s">
        <v>672</v>
      </c>
      <c r="P310" s="416" t="s">
        <v>933</v>
      </c>
      <c r="Q310" s="416" t="s">
        <v>934</v>
      </c>
      <c r="R310" s="417">
        <v>42823</v>
      </c>
      <c r="S310" s="417">
        <v>44649</v>
      </c>
      <c r="T310" s="417">
        <v>44649</v>
      </c>
      <c r="U310" s="416">
        <v>1.25</v>
      </c>
      <c r="V310" s="418">
        <v>25000</v>
      </c>
      <c r="W310" s="419">
        <v>25000000</v>
      </c>
      <c r="X310" s="416" t="s">
        <v>666</v>
      </c>
      <c r="Y310" s="416" t="s">
        <v>677</v>
      </c>
      <c r="Z310" s="416" t="s">
        <v>1065</v>
      </c>
      <c r="AA310" s="416">
        <v>868.06</v>
      </c>
      <c r="AB310" s="419">
        <v>25003000</v>
      </c>
      <c r="AC310" s="416" t="s">
        <v>666</v>
      </c>
    </row>
    <row r="311" spans="1:29">
      <c r="A311" s="415">
        <v>4</v>
      </c>
      <c r="B311" s="415" t="s">
        <v>338</v>
      </c>
      <c r="C311" s="415">
        <v>86</v>
      </c>
      <c r="D311" s="415" t="s">
        <v>614</v>
      </c>
      <c r="E311" s="415">
        <v>10</v>
      </c>
      <c r="F311" s="415" t="s">
        <v>305</v>
      </c>
      <c r="G311" s="415">
        <v>15</v>
      </c>
      <c r="H311" s="415" t="s">
        <v>471</v>
      </c>
      <c r="I311" s="415" t="s">
        <v>456</v>
      </c>
      <c r="J311" s="415" t="s">
        <v>457</v>
      </c>
      <c r="K311" s="415">
        <v>16060609</v>
      </c>
      <c r="L311" s="41">
        <f>VLOOKUP(K311,WebPosting!$B$6:$B$561,1,FALSE)</f>
        <v>16060609</v>
      </c>
      <c r="M311" s="46">
        <f>(($V311*1000)*(IFERROR($T311-WebPosting!$K$1,"0")))</f>
        <v>6250000000</v>
      </c>
      <c r="N311" s="43">
        <f t="shared" si="4"/>
        <v>212500.00000000003</v>
      </c>
      <c r="O311" s="416" t="s">
        <v>672</v>
      </c>
      <c r="P311" s="416" t="s">
        <v>675</v>
      </c>
      <c r="Q311" s="416" t="s">
        <v>676</v>
      </c>
      <c r="R311" s="417">
        <v>42527</v>
      </c>
      <c r="S311" s="417">
        <v>43075</v>
      </c>
      <c r="T311" s="417">
        <v>43075</v>
      </c>
      <c r="U311" s="416">
        <v>0.85</v>
      </c>
      <c r="V311" s="418">
        <v>25000</v>
      </c>
      <c r="W311" s="419">
        <v>25000000</v>
      </c>
      <c r="X311" s="416" t="s">
        <v>666</v>
      </c>
      <c r="Y311" s="416" t="s">
        <v>677</v>
      </c>
      <c r="Z311" s="416" t="s">
        <v>953</v>
      </c>
      <c r="AA311" s="419">
        <v>67291.66</v>
      </c>
      <c r="AB311" s="419">
        <v>24958000</v>
      </c>
      <c r="AC311" s="416" t="s">
        <v>666</v>
      </c>
    </row>
    <row r="312" spans="1:29">
      <c r="A312" s="415">
        <v>4</v>
      </c>
      <c r="B312" s="415" t="s">
        <v>338</v>
      </c>
      <c r="C312" s="415">
        <v>86</v>
      </c>
      <c r="D312" s="415" t="s">
        <v>614</v>
      </c>
      <c r="E312" s="415">
        <v>10</v>
      </c>
      <c r="F312" s="415" t="s">
        <v>305</v>
      </c>
      <c r="G312" s="415">
        <v>15</v>
      </c>
      <c r="H312" s="415" t="s">
        <v>471</v>
      </c>
      <c r="I312" s="415" t="s">
        <v>456</v>
      </c>
      <c r="J312" s="415" t="s">
        <v>457</v>
      </c>
      <c r="K312" s="415">
        <v>16071120</v>
      </c>
      <c r="L312" s="41">
        <f>VLOOKUP(K312,WebPosting!$B$6:$B$561,1,FALSE)</f>
        <v>16071120</v>
      </c>
      <c r="M312" s="46">
        <f>(($V312*1000)*(IFERROR($T312-WebPosting!$K$1,"0")))</f>
        <v>7150000000</v>
      </c>
      <c r="N312" s="43">
        <f t="shared" si="4"/>
        <v>172500</v>
      </c>
      <c r="O312" s="416" t="s">
        <v>672</v>
      </c>
      <c r="P312" s="416" t="s">
        <v>862</v>
      </c>
      <c r="Q312" s="416" t="s">
        <v>863</v>
      </c>
      <c r="R312" s="417">
        <v>42562</v>
      </c>
      <c r="S312" s="417">
        <v>43111</v>
      </c>
      <c r="T312" s="417">
        <v>43111</v>
      </c>
      <c r="U312" s="416">
        <v>0.69</v>
      </c>
      <c r="V312" s="418">
        <v>25000</v>
      </c>
      <c r="W312" s="419">
        <v>25000000</v>
      </c>
      <c r="X312" s="416" t="s">
        <v>666</v>
      </c>
      <c r="Y312" s="416" t="s">
        <v>677</v>
      </c>
      <c r="Z312" s="416" t="s">
        <v>954</v>
      </c>
      <c r="AA312" s="419">
        <v>37854.17</v>
      </c>
      <c r="AB312" s="419">
        <v>24920500</v>
      </c>
      <c r="AC312" s="416" t="s">
        <v>666</v>
      </c>
    </row>
    <row r="313" spans="1:29">
      <c r="A313" s="415">
        <v>4</v>
      </c>
      <c r="B313" s="415" t="s">
        <v>338</v>
      </c>
      <c r="C313" s="415">
        <v>86</v>
      </c>
      <c r="D313" s="415" t="s">
        <v>614</v>
      </c>
      <c r="E313" s="415">
        <v>10</v>
      </c>
      <c r="F313" s="415" t="s">
        <v>305</v>
      </c>
      <c r="G313" s="415">
        <v>15</v>
      </c>
      <c r="H313" s="415" t="s">
        <v>471</v>
      </c>
      <c r="I313" s="415" t="s">
        <v>456</v>
      </c>
      <c r="J313" s="415" t="s">
        <v>457</v>
      </c>
      <c r="K313" s="415">
        <v>16100522</v>
      </c>
      <c r="L313" s="41">
        <f>VLOOKUP(K313,WebPosting!$B$6:$B$561,1,FALSE)</f>
        <v>16100522</v>
      </c>
      <c r="M313" s="46">
        <f>(($V313*1000)*(IFERROR($T313-WebPosting!$K$1,"0")))</f>
        <v>9425000000</v>
      </c>
      <c r="N313" s="43">
        <f t="shared" si="4"/>
        <v>197500.00000000003</v>
      </c>
      <c r="O313" s="416" t="s">
        <v>672</v>
      </c>
      <c r="P313" s="416" t="s">
        <v>926</v>
      </c>
      <c r="Q313" s="416" t="s">
        <v>927</v>
      </c>
      <c r="R313" s="417">
        <v>42648</v>
      </c>
      <c r="S313" s="417">
        <v>43202</v>
      </c>
      <c r="T313" s="417">
        <v>43202</v>
      </c>
      <c r="U313" s="416">
        <v>0.79</v>
      </c>
      <c r="V313" s="418">
        <v>25000</v>
      </c>
      <c r="W313" s="419">
        <v>25000000</v>
      </c>
      <c r="X313" s="416" t="s">
        <v>666</v>
      </c>
      <c r="Y313" s="416" t="s">
        <v>677</v>
      </c>
      <c r="Z313" s="416" t="s">
        <v>955</v>
      </c>
      <c r="AA313" s="419">
        <v>100305.58</v>
      </c>
      <c r="AB313" s="419">
        <v>24904250</v>
      </c>
      <c r="AC313" s="416" t="s">
        <v>666</v>
      </c>
    </row>
    <row r="314" spans="1:29">
      <c r="A314" s="415">
        <v>4</v>
      </c>
      <c r="B314" s="415" t="s">
        <v>338</v>
      </c>
      <c r="C314" s="415">
        <v>86</v>
      </c>
      <c r="D314" s="415" t="s">
        <v>614</v>
      </c>
      <c r="E314" s="415">
        <v>10</v>
      </c>
      <c r="F314" s="415" t="s">
        <v>305</v>
      </c>
      <c r="G314" s="415">
        <v>15</v>
      </c>
      <c r="H314" s="415" t="s">
        <v>471</v>
      </c>
      <c r="I314" s="415" t="s">
        <v>456</v>
      </c>
      <c r="J314" s="415" t="s">
        <v>457</v>
      </c>
      <c r="K314" s="415">
        <v>17032703</v>
      </c>
      <c r="L314" s="41">
        <f>VLOOKUP(K314,WebPosting!$B$6:$B$561,1,FALSE)</f>
        <v>17032703</v>
      </c>
      <c r="M314" s="46">
        <f>(($V314*1000)*(IFERROR($T314-WebPosting!$K$1,"0")))</f>
        <v>11325000000</v>
      </c>
      <c r="N314" s="43">
        <f t="shared" si="4"/>
        <v>295000</v>
      </c>
      <c r="O314" s="416" t="s">
        <v>672</v>
      </c>
      <c r="P314" s="416" t="s">
        <v>862</v>
      </c>
      <c r="Q314" s="416" t="s">
        <v>863</v>
      </c>
      <c r="R314" s="417">
        <v>42821</v>
      </c>
      <c r="S314" s="417">
        <v>43278</v>
      </c>
      <c r="T314" s="417">
        <v>43278</v>
      </c>
      <c r="U314" s="416">
        <v>1.18</v>
      </c>
      <c r="V314" s="418">
        <v>25000</v>
      </c>
      <c r="W314" s="419">
        <v>25000000</v>
      </c>
      <c r="X314" s="416" t="s">
        <v>666</v>
      </c>
      <c r="Y314" s="416" t="s">
        <v>677</v>
      </c>
      <c r="Z314" s="416" t="s">
        <v>1066</v>
      </c>
      <c r="AA314" s="419">
        <v>2458.33</v>
      </c>
      <c r="AB314" s="419">
        <v>24989250</v>
      </c>
      <c r="AC314" s="416" t="s">
        <v>666</v>
      </c>
    </row>
    <row r="315" spans="1:29">
      <c r="A315" s="415">
        <v>4</v>
      </c>
      <c r="B315" s="415" t="s">
        <v>338</v>
      </c>
      <c r="C315" s="415">
        <v>86</v>
      </c>
      <c r="D315" s="415" t="s">
        <v>614</v>
      </c>
      <c r="E315" s="415">
        <v>10</v>
      </c>
      <c r="F315" s="415" t="s">
        <v>305</v>
      </c>
      <c r="G315" s="415">
        <v>15</v>
      </c>
      <c r="H315" s="415" t="s">
        <v>471</v>
      </c>
      <c r="I315" s="415" t="s">
        <v>456</v>
      </c>
      <c r="J315" s="415" t="s">
        <v>457</v>
      </c>
      <c r="K315" s="415">
        <v>17020104</v>
      </c>
      <c r="L315" s="41">
        <f>VLOOKUP(K315,WebPosting!$B$6:$B$561,1,FALSE)</f>
        <v>17020104</v>
      </c>
      <c r="M315" s="46">
        <f>(($V315*1000)*(IFERROR($T315-WebPosting!$K$1,"0")))</f>
        <v>16800000000</v>
      </c>
      <c r="N315" s="43">
        <f t="shared" si="4"/>
        <v>325000</v>
      </c>
      <c r="O315" s="416" t="s">
        <v>672</v>
      </c>
      <c r="P315" s="416" t="s">
        <v>838</v>
      </c>
      <c r="Q315" s="416" t="s">
        <v>839</v>
      </c>
      <c r="R315" s="417">
        <v>42767</v>
      </c>
      <c r="S315" s="417">
        <v>43497</v>
      </c>
      <c r="T315" s="417">
        <v>43497</v>
      </c>
      <c r="U315" s="416">
        <v>1.3</v>
      </c>
      <c r="V315" s="418">
        <v>25000</v>
      </c>
      <c r="W315" s="419">
        <v>25000000</v>
      </c>
      <c r="X315" s="416" t="s">
        <v>666</v>
      </c>
      <c r="Y315" s="416" t="s">
        <v>677</v>
      </c>
      <c r="Z315" s="416" t="s">
        <v>956</v>
      </c>
      <c r="AA315" s="419">
        <v>53263.89</v>
      </c>
      <c r="AB315" s="419">
        <v>24963000</v>
      </c>
      <c r="AC315" s="416" t="s">
        <v>666</v>
      </c>
    </row>
    <row r="316" spans="1:29">
      <c r="A316" s="415">
        <v>4</v>
      </c>
      <c r="B316" s="415" t="s">
        <v>338</v>
      </c>
      <c r="C316" s="415">
        <v>86</v>
      </c>
      <c r="D316" s="415" t="s">
        <v>614</v>
      </c>
      <c r="E316" s="415">
        <v>10</v>
      </c>
      <c r="F316" s="415" t="s">
        <v>305</v>
      </c>
      <c r="G316" s="415">
        <v>15</v>
      </c>
      <c r="H316" s="415" t="s">
        <v>471</v>
      </c>
      <c r="I316" s="415" t="s">
        <v>456</v>
      </c>
      <c r="J316" s="415" t="s">
        <v>457</v>
      </c>
      <c r="K316" s="415">
        <v>17030611</v>
      </c>
      <c r="L316" s="41">
        <f>VLOOKUP(K316,WebPosting!$B$6:$B$561,1,FALSE)</f>
        <v>17030611</v>
      </c>
      <c r="M316" s="46">
        <f>(($V316*1000)*(IFERROR($T316-WebPosting!$K$1,"0")))</f>
        <v>17450000000</v>
      </c>
      <c r="N316" s="43">
        <f t="shared" si="4"/>
        <v>312500</v>
      </c>
      <c r="O316" s="416" t="s">
        <v>672</v>
      </c>
      <c r="P316" s="416" t="s">
        <v>675</v>
      </c>
      <c r="Q316" s="416" t="s">
        <v>676</v>
      </c>
      <c r="R316" s="417">
        <v>42800</v>
      </c>
      <c r="S316" s="417">
        <v>43523</v>
      </c>
      <c r="T316" s="417">
        <v>43523</v>
      </c>
      <c r="U316" s="416">
        <v>1.25</v>
      </c>
      <c r="V316" s="418">
        <v>25000</v>
      </c>
      <c r="W316" s="419">
        <v>25000000</v>
      </c>
      <c r="X316" s="416" t="s">
        <v>666</v>
      </c>
      <c r="Y316" s="416" t="s">
        <v>677</v>
      </c>
      <c r="Z316" s="416" t="s">
        <v>957</v>
      </c>
      <c r="AA316" s="419">
        <v>23440.93</v>
      </c>
      <c r="AB316" s="419">
        <v>24911750</v>
      </c>
      <c r="AC316" s="416" t="s">
        <v>666</v>
      </c>
    </row>
    <row r="317" spans="1:29">
      <c r="A317" s="415">
        <v>4</v>
      </c>
      <c r="B317" s="415" t="s">
        <v>338</v>
      </c>
      <c r="C317" s="415">
        <v>87</v>
      </c>
      <c r="D317" s="415" t="s">
        <v>615</v>
      </c>
      <c r="E317" s="415">
        <v>10</v>
      </c>
      <c r="F317" s="415" t="s">
        <v>305</v>
      </c>
      <c r="G317" s="415">
        <v>15</v>
      </c>
      <c r="H317" s="415" t="s">
        <v>471</v>
      </c>
      <c r="I317" s="415" t="s">
        <v>453</v>
      </c>
      <c r="J317" s="415" t="s">
        <v>437</v>
      </c>
      <c r="K317" s="415">
        <v>14041106</v>
      </c>
      <c r="L317" s="41">
        <f>VLOOKUP(K317,WebPosting!$B$6:$B$561,1,FALSE)</f>
        <v>14041106</v>
      </c>
      <c r="M317" s="46">
        <f>(($V317*1000)*(IFERROR($T317-WebPosting!$K$1,"0")))</f>
        <v>756000000</v>
      </c>
      <c r="N317" s="43">
        <f t="shared" si="4"/>
        <v>122500.00000000001</v>
      </c>
      <c r="O317" s="416" t="s">
        <v>672</v>
      </c>
      <c r="P317" s="416" t="s">
        <v>844</v>
      </c>
      <c r="Q317" s="416" t="s">
        <v>845</v>
      </c>
      <c r="R317" s="417">
        <v>41740</v>
      </c>
      <c r="S317" s="417">
        <v>42879</v>
      </c>
      <c r="T317" s="417">
        <v>42879</v>
      </c>
      <c r="U317" s="416">
        <v>0.875</v>
      </c>
      <c r="V317" s="418">
        <v>14000</v>
      </c>
      <c r="W317" s="419">
        <v>14000000</v>
      </c>
      <c r="X317" s="416" t="s">
        <v>666</v>
      </c>
      <c r="Y317" s="416" t="s">
        <v>677</v>
      </c>
      <c r="Z317" s="416" t="s">
        <v>958</v>
      </c>
      <c r="AA317" s="419">
        <v>45906.63</v>
      </c>
      <c r="AB317" s="419">
        <v>14001120</v>
      </c>
      <c r="AC317" s="416" t="s">
        <v>666</v>
      </c>
    </row>
    <row r="318" spans="1:29">
      <c r="A318" s="415">
        <v>4</v>
      </c>
      <c r="B318" s="415" t="s">
        <v>338</v>
      </c>
      <c r="C318" s="415">
        <v>87</v>
      </c>
      <c r="D318" s="415" t="s">
        <v>615</v>
      </c>
      <c r="E318" s="415">
        <v>10</v>
      </c>
      <c r="F318" s="415" t="s">
        <v>305</v>
      </c>
      <c r="G318" s="415">
        <v>15</v>
      </c>
      <c r="H318" s="415" t="s">
        <v>471</v>
      </c>
      <c r="I318" s="415" t="s">
        <v>453</v>
      </c>
      <c r="J318" s="415" t="s">
        <v>437</v>
      </c>
      <c r="K318" s="415">
        <v>16072511</v>
      </c>
      <c r="L318" s="41">
        <f>VLOOKUP(K318,WebPosting!$B$6:$B$561,1,FALSE)</f>
        <v>16072511</v>
      </c>
      <c r="M318" s="46">
        <f>(($V318*1000)*(IFERROR($T318-WebPosting!$K$1,"0")))</f>
        <v>3675000000</v>
      </c>
      <c r="N318" s="43">
        <f t="shared" si="4"/>
        <v>177500</v>
      </c>
      <c r="O318" s="416" t="s">
        <v>672</v>
      </c>
      <c r="P318" s="416" t="s">
        <v>905</v>
      </c>
      <c r="Q318" s="416" t="s">
        <v>906</v>
      </c>
      <c r="R318" s="417">
        <v>42576</v>
      </c>
      <c r="S318" s="417">
        <v>42972</v>
      </c>
      <c r="T318" s="417">
        <v>42972</v>
      </c>
      <c r="U318" s="416">
        <v>0.71</v>
      </c>
      <c r="V318" s="418">
        <v>25000</v>
      </c>
      <c r="W318" s="419">
        <v>25000000</v>
      </c>
      <c r="X318" s="416" t="s">
        <v>666</v>
      </c>
      <c r="Y318" s="416" t="s">
        <v>677</v>
      </c>
      <c r="Z318" s="416" t="s">
        <v>959</v>
      </c>
      <c r="AA318" s="419">
        <v>32048.62</v>
      </c>
      <c r="AB318" s="419">
        <v>24977250</v>
      </c>
      <c r="AC318" s="416" t="s">
        <v>666</v>
      </c>
    </row>
    <row r="319" spans="1:29">
      <c r="A319" s="415">
        <v>4</v>
      </c>
      <c r="B319" s="415" t="s">
        <v>338</v>
      </c>
      <c r="C319" s="415">
        <v>87</v>
      </c>
      <c r="D319" s="415" t="s">
        <v>615</v>
      </c>
      <c r="E319" s="415">
        <v>10</v>
      </c>
      <c r="F319" s="415" t="s">
        <v>305</v>
      </c>
      <c r="G319" s="415">
        <v>15</v>
      </c>
      <c r="H319" s="415" t="s">
        <v>471</v>
      </c>
      <c r="I319" s="415" t="s">
        <v>453</v>
      </c>
      <c r="J319" s="415" t="s">
        <v>437</v>
      </c>
      <c r="K319" s="415">
        <v>15060210</v>
      </c>
      <c r="L319" s="41">
        <f>VLOOKUP(K319,WebPosting!$B$6:$B$561,1,FALSE)</f>
        <v>15060210</v>
      </c>
      <c r="M319" s="46">
        <f>(($V319*1000)*(IFERROR($T319-WebPosting!$K$1,"0")))</f>
        <v>3750000000</v>
      </c>
      <c r="N319" s="43">
        <f t="shared" si="4"/>
        <v>187500</v>
      </c>
      <c r="O319" s="416" t="s">
        <v>672</v>
      </c>
      <c r="P319" s="416" t="s">
        <v>838</v>
      </c>
      <c r="Q319" s="416" t="s">
        <v>839</v>
      </c>
      <c r="R319" s="417">
        <v>42157</v>
      </c>
      <c r="S319" s="417">
        <v>42975</v>
      </c>
      <c r="T319" s="417">
        <v>42975</v>
      </c>
      <c r="U319" s="416">
        <v>0.75</v>
      </c>
      <c r="V319" s="418">
        <v>25000</v>
      </c>
      <c r="W319" s="419">
        <v>25000000</v>
      </c>
      <c r="X319" s="416" t="s">
        <v>666</v>
      </c>
      <c r="Y319" s="416" t="s">
        <v>677</v>
      </c>
      <c r="Z319" s="416" t="s">
        <v>960</v>
      </c>
      <c r="AA319" s="419">
        <v>16666.669999999998</v>
      </c>
      <c r="AB319" s="419">
        <v>24969000</v>
      </c>
      <c r="AC319" s="416" t="s">
        <v>666</v>
      </c>
    </row>
    <row r="320" spans="1:29">
      <c r="A320" s="415">
        <v>4</v>
      </c>
      <c r="B320" s="415" t="s">
        <v>338</v>
      </c>
      <c r="C320" s="415">
        <v>87</v>
      </c>
      <c r="D320" s="415" t="s">
        <v>615</v>
      </c>
      <c r="E320" s="415">
        <v>10</v>
      </c>
      <c r="F320" s="415" t="s">
        <v>305</v>
      </c>
      <c r="G320" s="415">
        <v>15</v>
      </c>
      <c r="H320" s="415" t="s">
        <v>471</v>
      </c>
      <c r="I320" s="415" t="s">
        <v>453</v>
      </c>
      <c r="J320" s="415" t="s">
        <v>437</v>
      </c>
      <c r="K320" s="415">
        <v>16110217</v>
      </c>
      <c r="L320" s="41">
        <f>VLOOKUP(K320,WebPosting!$B$6:$B$561,1,FALSE)</f>
        <v>16110217</v>
      </c>
      <c r="M320" s="46">
        <f>(($V320*1000)*(IFERROR($T320-WebPosting!$K$1,"0")))</f>
        <v>5225000000</v>
      </c>
      <c r="N320" s="43">
        <f t="shared" si="4"/>
        <v>156250</v>
      </c>
      <c r="O320" s="416" t="s">
        <v>672</v>
      </c>
      <c r="P320" s="416" t="s">
        <v>838</v>
      </c>
      <c r="Q320" s="416" t="s">
        <v>839</v>
      </c>
      <c r="R320" s="417">
        <v>42676</v>
      </c>
      <c r="S320" s="417">
        <v>43034</v>
      </c>
      <c r="T320" s="417">
        <v>43034</v>
      </c>
      <c r="U320" s="416">
        <v>0.625</v>
      </c>
      <c r="V320" s="418">
        <v>25000</v>
      </c>
      <c r="W320" s="419">
        <v>25000000</v>
      </c>
      <c r="X320" s="416" t="s">
        <v>666</v>
      </c>
      <c r="Y320" s="416" t="s">
        <v>677</v>
      </c>
      <c r="Z320" s="416" t="s">
        <v>961</v>
      </c>
      <c r="AA320" s="419">
        <v>70507.3</v>
      </c>
      <c r="AB320" s="419">
        <v>24947750</v>
      </c>
      <c r="AC320" s="416" t="s">
        <v>666</v>
      </c>
    </row>
    <row r="321" spans="1:29">
      <c r="A321" s="415">
        <v>4</v>
      </c>
      <c r="B321" s="415" t="s">
        <v>338</v>
      </c>
      <c r="C321" s="415">
        <v>87</v>
      </c>
      <c r="D321" s="415" t="s">
        <v>615</v>
      </c>
      <c r="E321" s="415">
        <v>10</v>
      </c>
      <c r="F321" s="415" t="s">
        <v>305</v>
      </c>
      <c r="G321" s="415">
        <v>15</v>
      </c>
      <c r="H321" s="415" t="s">
        <v>471</v>
      </c>
      <c r="I321" s="415" t="s">
        <v>453</v>
      </c>
      <c r="J321" s="415" t="s">
        <v>437</v>
      </c>
      <c r="K321" s="415">
        <v>16052308</v>
      </c>
      <c r="L321" s="41">
        <f>VLOOKUP(K321,WebPosting!$B$6:$B$561,1,FALSE)</f>
        <v>16052308</v>
      </c>
      <c r="M321" s="46">
        <f>(($V321*1000)*(IFERROR($T321-WebPosting!$K$1,"0")))</f>
        <v>8225000000</v>
      </c>
      <c r="N321" s="43">
        <f t="shared" si="4"/>
        <v>237500</v>
      </c>
      <c r="O321" s="416" t="s">
        <v>672</v>
      </c>
      <c r="P321" s="416" t="s">
        <v>933</v>
      </c>
      <c r="Q321" s="416" t="s">
        <v>934</v>
      </c>
      <c r="R321" s="417">
        <v>42513</v>
      </c>
      <c r="S321" s="417">
        <v>43154</v>
      </c>
      <c r="T321" s="417">
        <v>43154</v>
      </c>
      <c r="U321" s="416">
        <v>0.95</v>
      </c>
      <c r="V321" s="418">
        <v>25000</v>
      </c>
      <c r="W321" s="419">
        <v>25000000</v>
      </c>
      <c r="X321" s="416" t="s">
        <v>666</v>
      </c>
      <c r="Y321" s="416" t="s">
        <v>677</v>
      </c>
      <c r="Z321" s="416" t="s">
        <v>962</v>
      </c>
      <c r="AA321" s="419">
        <v>24409.73</v>
      </c>
      <c r="AB321" s="419">
        <v>24968250</v>
      </c>
      <c r="AC321" s="416" t="s">
        <v>666</v>
      </c>
    </row>
    <row r="322" spans="1:29">
      <c r="A322" s="415">
        <v>4</v>
      </c>
      <c r="B322" s="415" t="s">
        <v>338</v>
      </c>
      <c r="C322" s="415">
        <v>87</v>
      </c>
      <c r="D322" s="415" t="s">
        <v>615</v>
      </c>
      <c r="E322" s="415">
        <v>10</v>
      </c>
      <c r="F322" s="415" t="s">
        <v>305</v>
      </c>
      <c r="G322" s="415">
        <v>15</v>
      </c>
      <c r="H322" s="415" t="s">
        <v>471</v>
      </c>
      <c r="I322" s="415" t="s">
        <v>453</v>
      </c>
      <c r="J322" s="415" t="s">
        <v>437</v>
      </c>
      <c r="K322" s="415">
        <v>16060909</v>
      </c>
      <c r="L322" s="41">
        <f>VLOOKUP(K322,WebPosting!$B$6:$B$561,1,FALSE)</f>
        <v>16060909</v>
      </c>
      <c r="M322" s="46">
        <f>(($V322*1000)*(IFERROR($T322-WebPosting!$K$1,"0")))</f>
        <v>8575000000</v>
      </c>
      <c r="N322" s="43">
        <f t="shared" si="4"/>
        <v>237500</v>
      </c>
      <c r="O322" s="416" t="s">
        <v>672</v>
      </c>
      <c r="P322" s="416" t="s">
        <v>933</v>
      </c>
      <c r="Q322" s="416" t="s">
        <v>934</v>
      </c>
      <c r="R322" s="417">
        <v>42530</v>
      </c>
      <c r="S322" s="417">
        <v>43168</v>
      </c>
      <c r="T322" s="417">
        <v>43168</v>
      </c>
      <c r="U322" s="416">
        <v>0.95</v>
      </c>
      <c r="V322" s="418">
        <v>25000</v>
      </c>
      <c r="W322" s="419">
        <v>25000000</v>
      </c>
      <c r="X322" s="416" t="s">
        <v>666</v>
      </c>
      <c r="Y322" s="416" t="s">
        <v>677</v>
      </c>
      <c r="Z322" s="416" t="s">
        <v>963</v>
      </c>
      <c r="AA322" s="419">
        <v>13854.17</v>
      </c>
      <c r="AB322" s="419">
        <v>24964750</v>
      </c>
      <c r="AC322" s="416" t="s">
        <v>666</v>
      </c>
    </row>
    <row r="323" spans="1:29">
      <c r="A323" s="415">
        <v>4</v>
      </c>
      <c r="B323" s="415" t="s">
        <v>338</v>
      </c>
      <c r="C323" s="415">
        <v>87</v>
      </c>
      <c r="D323" s="415" t="s">
        <v>615</v>
      </c>
      <c r="E323" s="415">
        <v>10</v>
      </c>
      <c r="F323" s="415" t="s">
        <v>305</v>
      </c>
      <c r="G323" s="415">
        <v>15</v>
      </c>
      <c r="H323" s="415" t="s">
        <v>471</v>
      </c>
      <c r="I323" s="415" t="s">
        <v>453</v>
      </c>
      <c r="J323" s="415" t="s">
        <v>437</v>
      </c>
      <c r="K323" s="415">
        <v>15030212</v>
      </c>
      <c r="L323" s="41">
        <f>VLOOKUP(K323,WebPosting!$B$6:$B$561,1,FALSE)</f>
        <v>15030212</v>
      </c>
      <c r="M323" s="46">
        <f>(($V323*1000)*(IFERROR($T323-WebPosting!$K$1,"0")))</f>
        <v>5850000000</v>
      </c>
      <c r="N323" s="43">
        <f t="shared" ref="N323:N386" si="5">($U323%*($V323*1000))</f>
        <v>168750</v>
      </c>
      <c r="O323" s="416" t="s">
        <v>672</v>
      </c>
      <c r="P323" s="416" t="s">
        <v>844</v>
      </c>
      <c r="Q323" s="416" t="s">
        <v>845</v>
      </c>
      <c r="R323" s="417">
        <v>42062</v>
      </c>
      <c r="S323" s="417">
        <v>43215</v>
      </c>
      <c r="T323" s="417">
        <v>43215</v>
      </c>
      <c r="U323" s="416">
        <v>1.125</v>
      </c>
      <c r="V323" s="418">
        <v>15000</v>
      </c>
      <c r="W323" s="419">
        <v>15000000</v>
      </c>
      <c r="X323" s="416" t="s">
        <v>666</v>
      </c>
      <c r="Y323" s="416" t="s">
        <v>677</v>
      </c>
      <c r="Z323" s="416" t="s">
        <v>964</v>
      </c>
      <c r="AA323" s="419">
        <v>73596.070000000007</v>
      </c>
      <c r="AB323" s="419">
        <v>14998050</v>
      </c>
      <c r="AC323" s="416" t="s">
        <v>666</v>
      </c>
    </row>
    <row r="324" spans="1:29">
      <c r="A324" s="415">
        <v>4</v>
      </c>
      <c r="B324" s="415" t="s">
        <v>338</v>
      </c>
      <c r="C324" s="415">
        <v>87</v>
      </c>
      <c r="D324" s="415" t="s">
        <v>615</v>
      </c>
      <c r="E324" s="415">
        <v>10</v>
      </c>
      <c r="F324" s="415" t="s">
        <v>305</v>
      </c>
      <c r="G324" s="415">
        <v>15</v>
      </c>
      <c r="H324" s="415" t="s">
        <v>471</v>
      </c>
      <c r="I324" s="415" t="s">
        <v>453</v>
      </c>
      <c r="J324" s="415" t="s">
        <v>437</v>
      </c>
      <c r="K324" s="415">
        <v>16110216</v>
      </c>
      <c r="L324" s="41">
        <f>VLOOKUP(K324,WebPosting!$B$6:$B$561,1,FALSE)</f>
        <v>16110216</v>
      </c>
      <c r="M324" s="46">
        <f>(($V324*1000)*(IFERROR($T324-WebPosting!$K$1,"0")))</f>
        <v>9925000000</v>
      </c>
      <c r="N324" s="43">
        <f t="shared" si="5"/>
        <v>187500</v>
      </c>
      <c r="O324" s="416" t="s">
        <v>672</v>
      </c>
      <c r="P324" s="416" t="s">
        <v>862</v>
      </c>
      <c r="Q324" s="416" t="s">
        <v>863</v>
      </c>
      <c r="R324" s="417">
        <v>42676</v>
      </c>
      <c r="S324" s="417">
        <v>43222</v>
      </c>
      <c r="T324" s="417">
        <v>43222</v>
      </c>
      <c r="U324" s="416">
        <v>0.75</v>
      </c>
      <c r="V324" s="418">
        <v>25000</v>
      </c>
      <c r="W324" s="419">
        <v>25000000</v>
      </c>
      <c r="X324" s="416" t="s">
        <v>666</v>
      </c>
      <c r="Y324" s="416" t="s">
        <v>677</v>
      </c>
      <c r="Z324" s="416" t="s">
        <v>965</v>
      </c>
      <c r="AA324" s="419">
        <v>77083.33</v>
      </c>
      <c r="AB324" s="419">
        <v>24952500</v>
      </c>
      <c r="AC324" s="416" t="s">
        <v>666</v>
      </c>
    </row>
    <row r="325" spans="1:29">
      <c r="A325" s="415">
        <v>4</v>
      </c>
      <c r="B325" s="415" t="s">
        <v>338</v>
      </c>
      <c r="C325" s="415">
        <v>87</v>
      </c>
      <c r="D325" s="415" t="s">
        <v>615</v>
      </c>
      <c r="E325" s="415">
        <v>10</v>
      </c>
      <c r="F325" s="415" t="s">
        <v>305</v>
      </c>
      <c r="G325" s="415">
        <v>15</v>
      </c>
      <c r="H325" s="415" t="s">
        <v>471</v>
      </c>
      <c r="I325" s="415" t="s">
        <v>453</v>
      </c>
      <c r="J325" s="415" t="s">
        <v>437</v>
      </c>
      <c r="K325" s="415">
        <v>16120811</v>
      </c>
      <c r="L325" s="41">
        <f>VLOOKUP(K325,WebPosting!$B$6:$B$561,1,FALSE)</f>
        <v>16120811</v>
      </c>
      <c r="M325" s="46">
        <f>(($V325*1000)*(IFERROR($T325-WebPosting!$K$1,"0")))</f>
        <v>16400000000</v>
      </c>
      <c r="N325" s="43">
        <f t="shared" si="5"/>
        <v>312500</v>
      </c>
      <c r="O325" s="416" t="s">
        <v>672</v>
      </c>
      <c r="P325" s="416" t="s">
        <v>838</v>
      </c>
      <c r="Q325" s="416" t="s">
        <v>839</v>
      </c>
      <c r="R325" s="417">
        <v>42712</v>
      </c>
      <c r="S325" s="417">
        <v>43481</v>
      </c>
      <c r="T325" s="417">
        <v>43481</v>
      </c>
      <c r="U325" s="416">
        <v>1.25</v>
      </c>
      <c r="V325" s="418">
        <v>25000</v>
      </c>
      <c r="W325" s="419">
        <v>25000000</v>
      </c>
      <c r="X325" s="416" t="s">
        <v>666</v>
      </c>
      <c r="Y325" s="416" t="s">
        <v>677</v>
      </c>
      <c r="Z325" s="416" t="s">
        <v>966</v>
      </c>
      <c r="AA325" s="419">
        <v>64333.75</v>
      </c>
      <c r="AB325" s="419">
        <v>24957750</v>
      </c>
      <c r="AC325" s="416" t="s">
        <v>666</v>
      </c>
    </row>
    <row r="326" spans="1:29">
      <c r="A326" s="415">
        <v>4</v>
      </c>
      <c r="B326" s="415" t="s">
        <v>338</v>
      </c>
      <c r="C326" s="415">
        <v>87</v>
      </c>
      <c r="D326" s="415" t="s">
        <v>615</v>
      </c>
      <c r="E326" s="415">
        <v>10</v>
      </c>
      <c r="F326" s="415" t="s">
        <v>305</v>
      </c>
      <c r="G326" s="415">
        <v>15</v>
      </c>
      <c r="H326" s="415" t="s">
        <v>471</v>
      </c>
      <c r="I326" s="415" t="s">
        <v>453</v>
      </c>
      <c r="J326" s="415" t="s">
        <v>437</v>
      </c>
      <c r="K326" s="415">
        <v>17013005</v>
      </c>
      <c r="L326" s="41">
        <f>VLOOKUP(K326,WebPosting!$B$6:$B$561,1,FALSE)</f>
        <v>17013005</v>
      </c>
      <c r="M326" s="46">
        <f>(($V326*1000)*(IFERROR($T326-WebPosting!$K$1,"0")))</f>
        <v>10050000000</v>
      </c>
      <c r="N326" s="43">
        <f t="shared" si="5"/>
        <v>193500</v>
      </c>
      <c r="O326" s="416" t="s">
        <v>672</v>
      </c>
      <c r="P326" s="416" t="s">
        <v>675</v>
      </c>
      <c r="Q326" s="416" t="s">
        <v>676</v>
      </c>
      <c r="R326" s="417">
        <v>42765</v>
      </c>
      <c r="S326" s="417">
        <v>43495</v>
      </c>
      <c r="T326" s="417">
        <v>43495</v>
      </c>
      <c r="U326" s="416">
        <v>1.29</v>
      </c>
      <c r="V326" s="418">
        <v>15000</v>
      </c>
      <c r="W326" s="419">
        <v>15000000</v>
      </c>
      <c r="X326" s="416" t="s">
        <v>666</v>
      </c>
      <c r="Y326" s="416" t="s">
        <v>677</v>
      </c>
      <c r="Z326" s="416" t="s">
        <v>967</v>
      </c>
      <c r="AA326" s="419">
        <v>31771.24</v>
      </c>
      <c r="AB326" s="419">
        <v>14970150</v>
      </c>
      <c r="AC326" s="416" t="s">
        <v>666</v>
      </c>
    </row>
    <row r="327" spans="1:29">
      <c r="A327" s="415">
        <v>4</v>
      </c>
      <c r="B327" s="415" t="s">
        <v>338</v>
      </c>
      <c r="C327" s="415">
        <v>87</v>
      </c>
      <c r="D327" s="415" t="s">
        <v>615</v>
      </c>
      <c r="E327" s="415">
        <v>10</v>
      </c>
      <c r="F327" s="415" t="s">
        <v>305</v>
      </c>
      <c r="G327" s="415">
        <v>15</v>
      </c>
      <c r="H327" s="415" t="s">
        <v>471</v>
      </c>
      <c r="I327" s="415" t="s">
        <v>453</v>
      </c>
      <c r="J327" s="415" t="s">
        <v>437</v>
      </c>
      <c r="K327" s="415">
        <v>17032911</v>
      </c>
      <c r="L327" s="41">
        <f>VLOOKUP(K327,WebPosting!$B$6:$B$561,1,FALSE)</f>
        <v>17032911</v>
      </c>
      <c r="M327" s="46">
        <f>(($V327*1000)*(IFERROR($T327-WebPosting!$K$1,"0")))</f>
        <v>18200000000</v>
      </c>
      <c r="N327" s="43">
        <f t="shared" si="5"/>
        <v>360000</v>
      </c>
      <c r="O327" s="416" t="s">
        <v>672</v>
      </c>
      <c r="P327" s="416" t="s">
        <v>862</v>
      </c>
      <c r="Q327" s="416" t="s">
        <v>863</v>
      </c>
      <c r="R327" s="417">
        <v>42823</v>
      </c>
      <c r="S327" s="417">
        <v>43553</v>
      </c>
      <c r="T327" s="417">
        <v>43553</v>
      </c>
      <c r="U327" s="416">
        <v>1.44</v>
      </c>
      <c r="V327" s="418">
        <v>25000</v>
      </c>
      <c r="W327" s="419">
        <v>25000000</v>
      </c>
      <c r="X327" s="416" t="s">
        <v>666</v>
      </c>
      <c r="Y327" s="416" t="s">
        <v>677</v>
      </c>
      <c r="Z327" s="416" t="s">
        <v>1067</v>
      </c>
      <c r="AA327" s="419">
        <v>1000</v>
      </c>
      <c r="AB327" s="419">
        <v>24993750</v>
      </c>
      <c r="AC327" s="416" t="s">
        <v>666</v>
      </c>
    </row>
    <row r="328" spans="1:29">
      <c r="A328" s="415">
        <v>4</v>
      </c>
      <c r="B328" s="415" t="s">
        <v>338</v>
      </c>
      <c r="C328" s="415">
        <v>87</v>
      </c>
      <c r="D328" s="415" t="s">
        <v>615</v>
      </c>
      <c r="E328" s="415">
        <v>10</v>
      </c>
      <c r="F328" s="415" t="s">
        <v>305</v>
      </c>
      <c r="G328" s="415">
        <v>15</v>
      </c>
      <c r="H328" s="415" t="s">
        <v>471</v>
      </c>
      <c r="I328" s="415" t="s">
        <v>453</v>
      </c>
      <c r="J328" s="415" t="s">
        <v>437</v>
      </c>
      <c r="K328" s="415">
        <v>16111809</v>
      </c>
      <c r="L328" s="41">
        <f>VLOOKUP(K328,WebPosting!$B$6:$B$561,1,FALSE)</f>
        <v>16111809</v>
      </c>
      <c r="M328" s="46">
        <f>(($V328*1000)*(IFERROR($T328-WebPosting!$K$1,"0")))</f>
        <v>21425000000</v>
      </c>
      <c r="N328" s="43">
        <f t="shared" si="5"/>
        <v>218750.00000000003</v>
      </c>
      <c r="O328" s="416" t="s">
        <v>672</v>
      </c>
      <c r="P328" s="416" t="s">
        <v>679</v>
      </c>
      <c r="Q328" s="416" t="s">
        <v>680</v>
      </c>
      <c r="R328" s="417">
        <v>42692</v>
      </c>
      <c r="S328" s="417">
        <v>43682</v>
      </c>
      <c r="T328" s="417">
        <v>43682</v>
      </c>
      <c r="U328" s="416">
        <v>0.875</v>
      </c>
      <c r="V328" s="418">
        <v>25000</v>
      </c>
      <c r="W328" s="419">
        <v>25000000</v>
      </c>
      <c r="X328" s="416" t="s">
        <v>666</v>
      </c>
      <c r="Y328" s="416" t="s">
        <v>677</v>
      </c>
      <c r="Z328" s="416" t="s">
        <v>968</v>
      </c>
      <c r="AA328" s="419">
        <v>49182.68</v>
      </c>
      <c r="AB328" s="419">
        <v>24653000</v>
      </c>
      <c r="AC328" s="416" t="s">
        <v>666</v>
      </c>
    </row>
    <row r="329" spans="1:29">
      <c r="A329" s="415">
        <v>4</v>
      </c>
      <c r="B329" s="415" t="s">
        <v>338</v>
      </c>
      <c r="C329" s="415">
        <v>87</v>
      </c>
      <c r="D329" s="415" t="s">
        <v>615</v>
      </c>
      <c r="E329" s="415">
        <v>10</v>
      </c>
      <c r="F329" s="415" t="s">
        <v>305</v>
      </c>
      <c r="G329" s="415">
        <v>15</v>
      </c>
      <c r="H329" s="415" t="s">
        <v>471</v>
      </c>
      <c r="I329" s="415" t="s">
        <v>453</v>
      </c>
      <c r="J329" s="415" t="s">
        <v>437</v>
      </c>
      <c r="K329" s="415">
        <v>16090914</v>
      </c>
      <c r="L329" s="41">
        <f>VLOOKUP(K329,WebPosting!$B$6:$B$561,1,FALSE)</f>
        <v>16090914</v>
      </c>
      <c r="M329" s="46">
        <f>(($V329*1000)*(IFERROR($T329-WebPosting!$K$1,"0")))</f>
        <v>13635000000</v>
      </c>
      <c r="N329" s="43">
        <f t="shared" si="5"/>
        <v>150000</v>
      </c>
      <c r="O329" s="416" t="s">
        <v>672</v>
      </c>
      <c r="P329" s="416" t="s">
        <v>856</v>
      </c>
      <c r="Q329" s="416" t="s">
        <v>857</v>
      </c>
      <c r="R329" s="417">
        <v>42622</v>
      </c>
      <c r="S329" s="417">
        <v>43734</v>
      </c>
      <c r="T329" s="417">
        <v>43734</v>
      </c>
      <c r="U329" s="416">
        <v>1</v>
      </c>
      <c r="V329" s="418">
        <v>15000</v>
      </c>
      <c r="W329" s="419">
        <v>15000000</v>
      </c>
      <c r="X329" s="416" t="s">
        <v>666</v>
      </c>
      <c r="Y329" s="416" t="s">
        <v>677</v>
      </c>
      <c r="Z329" s="416" t="s">
        <v>969</v>
      </c>
      <c r="AA329" s="419">
        <v>1714.25</v>
      </c>
      <c r="AB329" s="419">
        <v>14823450</v>
      </c>
      <c r="AC329" s="416" t="s">
        <v>666</v>
      </c>
    </row>
    <row r="330" spans="1:29">
      <c r="A330" s="415">
        <v>4</v>
      </c>
      <c r="B330" s="415" t="s">
        <v>338</v>
      </c>
      <c r="C330" s="415">
        <v>87</v>
      </c>
      <c r="D330" s="415" t="s">
        <v>615</v>
      </c>
      <c r="E330" s="415">
        <v>10</v>
      </c>
      <c r="F330" s="415" t="s">
        <v>305</v>
      </c>
      <c r="G330" s="415">
        <v>15</v>
      </c>
      <c r="H330" s="415" t="s">
        <v>471</v>
      </c>
      <c r="I330" s="415" t="s">
        <v>453</v>
      </c>
      <c r="J330" s="415" t="s">
        <v>437</v>
      </c>
      <c r="K330" s="415">
        <v>16081008</v>
      </c>
      <c r="L330" s="41">
        <f>VLOOKUP(K330,WebPosting!$B$6:$B$561,1,FALSE)</f>
        <v>16081008</v>
      </c>
      <c r="M330" s="46">
        <f>(($V330*1000)*(IFERROR($T330-WebPosting!$K$1,"0")))</f>
        <v>30700000000</v>
      </c>
      <c r="N330" s="43">
        <f t="shared" si="5"/>
        <v>262500</v>
      </c>
      <c r="O330" s="416" t="s">
        <v>672</v>
      </c>
      <c r="P330" s="416" t="s">
        <v>838</v>
      </c>
      <c r="Q330" s="416" t="s">
        <v>839</v>
      </c>
      <c r="R330" s="417">
        <v>42592</v>
      </c>
      <c r="S330" s="417">
        <v>44053</v>
      </c>
      <c r="T330" s="417">
        <v>44053</v>
      </c>
      <c r="U330" s="416">
        <v>1.05</v>
      </c>
      <c r="V330" s="418">
        <v>25000</v>
      </c>
      <c r="W330" s="419">
        <v>25000000</v>
      </c>
      <c r="X330" s="416" t="s">
        <v>666</v>
      </c>
      <c r="Y330" s="416" t="s">
        <v>677</v>
      </c>
      <c r="Z330" s="416" t="s">
        <v>970</v>
      </c>
      <c r="AA330" s="419">
        <v>36458.33</v>
      </c>
      <c r="AB330" s="419">
        <v>24768500</v>
      </c>
      <c r="AC330" s="416" t="s">
        <v>666</v>
      </c>
    </row>
    <row r="331" spans="1:29">
      <c r="A331" s="415">
        <v>4</v>
      </c>
      <c r="B331" s="415" t="s">
        <v>338</v>
      </c>
      <c r="C331" s="415">
        <v>89</v>
      </c>
      <c r="D331" s="415" t="s">
        <v>616</v>
      </c>
      <c r="E331" s="415">
        <v>10</v>
      </c>
      <c r="F331" s="415" t="s">
        <v>572</v>
      </c>
      <c r="G331" s="415">
        <v>15</v>
      </c>
      <c r="H331" s="415" t="s">
        <v>471</v>
      </c>
      <c r="I331" s="415" t="s">
        <v>577</v>
      </c>
      <c r="J331" s="415" t="s">
        <v>578</v>
      </c>
      <c r="K331" s="415">
        <v>16042911</v>
      </c>
      <c r="L331" s="41">
        <f>VLOOKUP(K331,WebPosting!$B$6:$B$561,1,FALSE)</f>
        <v>16042911</v>
      </c>
      <c r="M331" s="46">
        <f>(($V331*1000)*(IFERROR($T331-WebPosting!$K$1,"0")))</f>
        <v>700000000</v>
      </c>
      <c r="N331" s="43">
        <f t="shared" si="5"/>
        <v>168750.00000000003</v>
      </c>
      <c r="O331" s="416" t="s">
        <v>672</v>
      </c>
      <c r="P331" s="416" t="s">
        <v>862</v>
      </c>
      <c r="Q331" s="416" t="s">
        <v>863</v>
      </c>
      <c r="R331" s="417">
        <v>42488</v>
      </c>
      <c r="S331" s="417">
        <v>42853</v>
      </c>
      <c r="T331" s="417">
        <v>42853</v>
      </c>
      <c r="U331" s="416">
        <v>0.67500000000000004</v>
      </c>
      <c r="V331" s="418">
        <v>25000</v>
      </c>
      <c r="W331" s="419">
        <v>25000000</v>
      </c>
      <c r="X331" s="416" t="s">
        <v>666</v>
      </c>
      <c r="Y331" s="416" t="s">
        <v>677</v>
      </c>
      <c r="Z331" s="416" t="s">
        <v>971</v>
      </c>
      <c r="AA331" s="419">
        <v>71250</v>
      </c>
      <c r="AB331" s="419">
        <v>24993750</v>
      </c>
      <c r="AC331" s="416" t="s">
        <v>666</v>
      </c>
    </row>
    <row r="332" spans="1:29">
      <c r="A332" s="415">
        <v>4</v>
      </c>
      <c r="B332" s="415" t="s">
        <v>338</v>
      </c>
      <c r="C332" s="415">
        <v>89</v>
      </c>
      <c r="D332" s="415" t="s">
        <v>616</v>
      </c>
      <c r="E332" s="415">
        <v>10</v>
      </c>
      <c r="F332" s="415" t="s">
        <v>572</v>
      </c>
      <c r="G332" s="415">
        <v>15</v>
      </c>
      <c r="H332" s="415" t="s">
        <v>471</v>
      </c>
      <c r="I332" s="415" t="s">
        <v>577</v>
      </c>
      <c r="J332" s="415" t="s">
        <v>578</v>
      </c>
      <c r="K332" s="415">
        <v>16030710</v>
      </c>
      <c r="L332" s="41">
        <f>VLOOKUP(K332,WebPosting!$B$6:$B$561,1,FALSE)</f>
        <v>16030710</v>
      </c>
      <c r="M332" s="46">
        <f>(($V332*1000)*(IFERROR($T332-WebPosting!$K$1,"0")))</f>
        <v>1700000000</v>
      </c>
      <c r="N332" s="43">
        <f t="shared" si="5"/>
        <v>190000</v>
      </c>
      <c r="O332" s="416" t="s">
        <v>672</v>
      </c>
      <c r="P332" s="416" t="s">
        <v>862</v>
      </c>
      <c r="Q332" s="416" t="s">
        <v>863</v>
      </c>
      <c r="R332" s="417">
        <v>42436</v>
      </c>
      <c r="S332" s="417">
        <v>42893</v>
      </c>
      <c r="T332" s="417">
        <v>42893</v>
      </c>
      <c r="U332" s="416">
        <v>0.76</v>
      </c>
      <c r="V332" s="418">
        <v>25000</v>
      </c>
      <c r="W332" s="419">
        <v>25000000</v>
      </c>
      <c r="X332" s="416" t="s">
        <v>666</v>
      </c>
      <c r="Y332" s="416" t="s">
        <v>677</v>
      </c>
      <c r="Z332" s="416" t="s">
        <v>972</v>
      </c>
      <c r="AA332" s="419">
        <v>59638.879999999997</v>
      </c>
      <c r="AB332" s="419">
        <v>24988000</v>
      </c>
      <c r="AC332" s="416" t="s">
        <v>666</v>
      </c>
    </row>
    <row r="333" spans="1:29">
      <c r="A333" s="415">
        <v>4</v>
      </c>
      <c r="B333" s="415" t="s">
        <v>338</v>
      </c>
      <c r="C333" s="415">
        <v>89</v>
      </c>
      <c r="D333" s="415" t="s">
        <v>616</v>
      </c>
      <c r="E333" s="415">
        <v>10</v>
      </c>
      <c r="F333" s="415" t="s">
        <v>572</v>
      </c>
      <c r="G333" s="415">
        <v>15</v>
      </c>
      <c r="H333" s="415" t="s">
        <v>471</v>
      </c>
      <c r="I333" s="415" t="s">
        <v>577</v>
      </c>
      <c r="J333" s="415" t="s">
        <v>578</v>
      </c>
      <c r="K333" s="415">
        <v>16080414</v>
      </c>
      <c r="L333" s="41">
        <f>VLOOKUP(K333,WebPosting!$B$6:$B$561,1,FALSE)</f>
        <v>16080414</v>
      </c>
      <c r="M333" s="46">
        <f>(($V333*1000)*(IFERROR($T333-WebPosting!$K$1,"0")))</f>
        <v>3825000000</v>
      </c>
      <c r="N333" s="43">
        <f t="shared" si="5"/>
        <v>171250</v>
      </c>
      <c r="O333" s="416" t="s">
        <v>672</v>
      </c>
      <c r="P333" s="416" t="s">
        <v>862</v>
      </c>
      <c r="Q333" s="416" t="s">
        <v>863</v>
      </c>
      <c r="R333" s="417">
        <v>42586</v>
      </c>
      <c r="S333" s="417">
        <v>42978</v>
      </c>
      <c r="T333" s="417">
        <v>42978</v>
      </c>
      <c r="U333" s="416">
        <v>0.68500000000000005</v>
      </c>
      <c r="V333" s="418">
        <v>25000</v>
      </c>
      <c r="W333" s="419">
        <v>25000000</v>
      </c>
      <c r="X333" s="416" t="s">
        <v>666</v>
      </c>
      <c r="Y333" s="416" t="s">
        <v>677</v>
      </c>
      <c r="Z333" s="416" t="s">
        <v>973</v>
      </c>
      <c r="AA333" s="419">
        <v>15222.22</v>
      </c>
      <c r="AB333" s="419">
        <v>24960750</v>
      </c>
      <c r="AC333" s="416" t="s">
        <v>666</v>
      </c>
    </row>
    <row r="334" spans="1:29">
      <c r="A334" s="415">
        <v>4</v>
      </c>
      <c r="B334" s="415" t="s">
        <v>338</v>
      </c>
      <c r="C334" s="415">
        <v>89</v>
      </c>
      <c r="D334" s="415" t="s">
        <v>616</v>
      </c>
      <c r="E334" s="415">
        <v>10</v>
      </c>
      <c r="F334" s="415" t="s">
        <v>572</v>
      </c>
      <c r="G334" s="415">
        <v>15</v>
      </c>
      <c r="H334" s="415" t="s">
        <v>471</v>
      </c>
      <c r="I334" s="415" t="s">
        <v>577</v>
      </c>
      <c r="J334" s="415" t="s">
        <v>578</v>
      </c>
      <c r="K334" s="415">
        <v>16030112</v>
      </c>
      <c r="L334" s="41">
        <f>VLOOKUP(K334,WebPosting!$B$6:$B$561,1,FALSE)</f>
        <v>16030112</v>
      </c>
      <c r="M334" s="46">
        <f>(($V334*1000)*(IFERROR($T334-WebPosting!$K$1,"0")))</f>
        <v>3850000000</v>
      </c>
      <c r="N334" s="43">
        <f t="shared" si="5"/>
        <v>200000</v>
      </c>
      <c r="O334" s="416" t="s">
        <v>672</v>
      </c>
      <c r="P334" s="416" t="s">
        <v>862</v>
      </c>
      <c r="Q334" s="416" t="s">
        <v>863</v>
      </c>
      <c r="R334" s="417">
        <v>42430</v>
      </c>
      <c r="S334" s="417">
        <v>42979</v>
      </c>
      <c r="T334" s="417">
        <v>42979</v>
      </c>
      <c r="U334" s="416">
        <v>0.8</v>
      </c>
      <c r="V334" s="418">
        <v>25000</v>
      </c>
      <c r="W334" s="419">
        <v>25000000</v>
      </c>
      <c r="X334" s="416" t="s">
        <v>666</v>
      </c>
      <c r="Y334" s="416" t="s">
        <v>677</v>
      </c>
      <c r="Z334" s="416" t="s">
        <v>974</v>
      </c>
      <c r="AA334" s="419">
        <v>16111.11</v>
      </c>
      <c r="AB334" s="419">
        <v>24974250</v>
      </c>
      <c r="AC334" s="416" t="s">
        <v>666</v>
      </c>
    </row>
    <row r="335" spans="1:29">
      <c r="A335" s="415">
        <v>4</v>
      </c>
      <c r="B335" s="415" t="s">
        <v>338</v>
      </c>
      <c r="C335" s="415">
        <v>89</v>
      </c>
      <c r="D335" s="415" t="s">
        <v>616</v>
      </c>
      <c r="E335" s="415">
        <v>10</v>
      </c>
      <c r="F335" s="415" t="s">
        <v>572</v>
      </c>
      <c r="G335" s="415">
        <v>15</v>
      </c>
      <c r="H335" s="415" t="s">
        <v>471</v>
      </c>
      <c r="I335" s="415" t="s">
        <v>577</v>
      </c>
      <c r="J335" s="415" t="s">
        <v>578</v>
      </c>
      <c r="K335" s="415">
        <v>16030116</v>
      </c>
      <c r="L335" s="41">
        <f>VLOOKUP(K335,WebPosting!$B$6:$B$561,1,FALSE)</f>
        <v>16030116</v>
      </c>
      <c r="M335" s="46">
        <f>(($V335*1000)*(IFERROR($T335-WebPosting!$K$1,"0")))</f>
        <v>3850000000</v>
      </c>
      <c r="N335" s="43">
        <f t="shared" si="5"/>
        <v>200000</v>
      </c>
      <c r="O335" s="416" t="s">
        <v>672</v>
      </c>
      <c r="P335" s="416" t="s">
        <v>862</v>
      </c>
      <c r="Q335" s="416" t="s">
        <v>863</v>
      </c>
      <c r="R335" s="417">
        <v>42430</v>
      </c>
      <c r="S335" s="417">
        <v>42979</v>
      </c>
      <c r="T335" s="417">
        <v>42979</v>
      </c>
      <c r="U335" s="416">
        <v>0.8</v>
      </c>
      <c r="V335" s="418">
        <v>25000</v>
      </c>
      <c r="W335" s="419">
        <v>25000000</v>
      </c>
      <c r="X335" s="416" t="s">
        <v>666</v>
      </c>
      <c r="Y335" s="416" t="s">
        <v>677</v>
      </c>
      <c r="Z335" s="416" t="s">
        <v>974</v>
      </c>
      <c r="AA335" s="419">
        <v>16111.11</v>
      </c>
      <c r="AB335" s="419">
        <v>24974250</v>
      </c>
      <c r="AC335" s="416" t="s">
        <v>666</v>
      </c>
    </row>
    <row r="336" spans="1:29">
      <c r="A336" s="415">
        <v>4</v>
      </c>
      <c r="B336" s="415" t="s">
        <v>338</v>
      </c>
      <c r="C336" s="415">
        <v>89</v>
      </c>
      <c r="D336" s="415" t="s">
        <v>616</v>
      </c>
      <c r="E336" s="415">
        <v>10</v>
      </c>
      <c r="F336" s="415" t="s">
        <v>572</v>
      </c>
      <c r="G336" s="415">
        <v>15</v>
      </c>
      <c r="H336" s="415" t="s">
        <v>471</v>
      </c>
      <c r="I336" s="415" t="s">
        <v>577</v>
      </c>
      <c r="J336" s="415" t="s">
        <v>578</v>
      </c>
      <c r="K336" s="415">
        <v>16040420</v>
      </c>
      <c r="L336" s="41">
        <f>VLOOKUP(K336,WebPosting!$B$6:$B$561,1,FALSE)</f>
        <v>16040420</v>
      </c>
      <c r="M336" s="46">
        <f>(($V336*1000)*(IFERROR($T336-WebPosting!$K$1,"0")))</f>
        <v>4675000000</v>
      </c>
      <c r="N336" s="43">
        <f t="shared" si="5"/>
        <v>215000</v>
      </c>
      <c r="O336" s="416" t="s">
        <v>672</v>
      </c>
      <c r="P336" s="416" t="s">
        <v>862</v>
      </c>
      <c r="Q336" s="416" t="s">
        <v>863</v>
      </c>
      <c r="R336" s="417">
        <v>42464</v>
      </c>
      <c r="S336" s="417">
        <v>43012</v>
      </c>
      <c r="T336" s="417">
        <v>43012</v>
      </c>
      <c r="U336" s="416">
        <v>0.86</v>
      </c>
      <c r="V336" s="418">
        <v>25000</v>
      </c>
      <c r="W336" s="419">
        <v>25000000</v>
      </c>
      <c r="X336" s="416" t="s">
        <v>666</v>
      </c>
      <c r="Y336" s="416" t="s">
        <v>677</v>
      </c>
      <c r="Z336" s="416" t="s">
        <v>975</v>
      </c>
      <c r="AA336" s="419">
        <v>105111.13</v>
      </c>
      <c r="AB336" s="419">
        <v>24972000</v>
      </c>
      <c r="AC336" s="416" t="s">
        <v>666</v>
      </c>
    </row>
    <row r="337" spans="1:29">
      <c r="A337" s="415">
        <v>4</v>
      </c>
      <c r="B337" s="415" t="s">
        <v>338</v>
      </c>
      <c r="C337" s="415">
        <v>89</v>
      </c>
      <c r="D337" s="415" t="s">
        <v>616</v>
      </c>
      <c r="E337" s="415">
        <v>10</v>
      </c>
      <c r="F337" s="415" t="s">
        <v>572</v>
      </c>
      <c r="G337" s="415">
        <v>15</v>
      </c>
      <c r="H337" s="415" t="s">
        <v>471</v>
      </c>
      <c r="I337" s="415" t="s">
        <v>577</v>
      </c>
      <c r="J337" s="415" t="s">
        <v>578</v>
      </c>
      <c r="K337" s="415">
        <v>14102310</v>
      </c>
      <c r="L337" s="41">
        <f>VLOOKUP(K337,WebPosting!$B$6:$B$561,1,FALSE)</f>
        <v>14102310</v>
      </c>
      <c r="M337" s="46">
        <f>(($V337*1000)*(IFERROR($T337-WebPosting!$K$1,"0")))</f>
        <v>3296000000</v>
      </c>
      <c r="N337" s="43">
        <f t="shared" si="5"/>
        <v>144000.00000000003</v>
      </c>
      <c r="O337" s="416" t="s">
        <v>672</v>
      </c>
      <c r="P337" s="416" t="s">
        <v>844</v>
      </c>
      <c r="Q337" s="416" t="s">
        <v>845</v>
      </c>
      <c r="R337" s="417">
        <v>41935</v>
      </c>
      <c r="S337" s="417">
        <v>43031</v>
      </c>
      <c r="T337" s="417">
        <v>43031</v>
      </c>
      <c r="U337" s="416">
        <v>0.9</v>
      </c>
      <c r="V337" s="418">
        <v>16000</v>
      </c>
      <c r="W337" s="419">
        <v>16000000</v>
      </c>
      <c r="X337" s="416" t="s">
        <v>666</v>
      </c>
      <c r="Y337" s="416" t="s">
        <v>677</v>
      </c>
      <c r="Z337" s="416" t="s">
        <v>976</v>
      </c>
      <c r="AA337" s="419">
        <v>62800</v>
      </c>
      <c r="AB337" s="419">
        <v>15977920</v>
      </c>
      <c r="AC337" s="416" t="s">
        <v>666</v>
      </c>
    </row>
    <row r="338" spans="1:29">
      <c r="A338" s="415">
        <v>4</v>
      </c>
      <c r="B338" s="415" t="s">
        <v>338</v>
      </c>
      <c r="C338" s="415">
        <v>89</v>
      </c>
      <c r="D338" s="415" t="s">
        <v>616</v>
      </c>
      <c r="E338" s="415">
        <v>10</v>
      </c>
      <c r="F338" s="415" t="s">
        <v>572</v>
      </c>
      <c r="G338" s="415">
        <v>15</v>
      </c>
      <c r="H338" s="415" t="s">
        <v>471</v>
      </c>
      <c r="I338" s="415" t="s">
        <v>577</v>
      </c>
      <c r="J338" s="415" t="s">
        <v>578</v>
      </c>
      <c r="K338" s="415">
        <v>17012715</v>
      </c>
      <c r="L338" s="41">
        <f>VLOOKUP(K338,WebPosting!$B$6:$B$561,1,FALSE)</f>
        <v>17012715</v>
      </c>
      <c r="M338" s="46">
        <f>(($V338*1000)*(IFERROR($T338-WebPosting!$K$1,"0")))</f>
        <v>7275000000</v>
      </c>
      <c r="N338" s="43">
        <f t="shared" si="5"/>
        <v>180012</v>
      </c>
      <c r="O338" s="416" t="s">
        <v>672</v>
      </c>
      <c r="P338" s="416" t="s">
        <v>862</v>
      </c>
      <c r="Q338" s="416" t="s">
        <v>863</v>
      </c>
      <c r="R338" s="417">
        <v>42590</v>
      </c>
      <c r="S338" s="417">
        <v>43116</v>
      </c>
      <c r="T338" s="417">
        <v>43116</v>
      </c>
      <c r="U338" s="416">
        <v>0.72004800000000002</v>
      </c>
      <c r="V338" s="418">
        <v>25000</v>
      </c>
      <c r="W338" s="419">
        <v>25000000</v>
      </c>
      <c r="X338" s="416" t="s">
        <v>666</v>
      </c>
      <c r="Y338" s="416" t="s">
        <v>677</v>
      </c>
      <c r="Z338" s="416" t="s">
        <v>977</v>
      </c>
      <c r="AA338" s="419">
        <v>116007.73</v>
      </c>
      <c r="AB338" s="419">
        <v>24916000</v>
      </c>
      <c r="AC338" s="416" t="s">
        <v>666</v>
      </c>
    </row>
    <row r="339" spans="1:29">
      <c r="A339" s="415">
        <v>4</v>
      </c>
      <c r="B339" s="415" t="s">
        <v>338</v>
      </c>
      <c r="C339" s="415">
        <v>89</v>
      </c>
      <c r="D339" s="415" t="s">
        <v>616</v>
      </c>
      <c r="E339" s="415">
        <v>10</v>
      </c>
      <c r="F339" s="415" t="s">
        <v>572</v>
      </c>
      <c r="G339" s="415">
        <v>15</v>
      </c>
      <c r="H339" s="415" t="s">
        <v>471</v>
      </c>
      <c r="I339" s="415" t="s">
        <v>577</v>
      </c>
      <c r="J339" s="415" t="s">
        <v>578</v>
      </c>
      <c r="K339" s="415">
        <v>17020101</v>
      </c>
      <c r="L339" s="41">
        <f>VLOOKUP(K339,WebPosting!$B$6:$B$561,1,FALSE)</f>
        <v>17020101</v>
      </c>
      <c r="M339" s="46">
        <f>(($V339*1000)*(IFERROR($T339-WebPosting!$K$1,"0")))</f>
        <v>15350000000</v>
      </c>
      <c r="N339" s="43">
        <f t="shared" si="5"/>
        <v>450000.00000000006</v>
      </c>
      <c r="O339" s="416" t="s">
        <v>672</v>
      </c>
      <c r="P339" s="416" t="s">
        <v>675</v>
      </c>
      <c r="Q339" s="416" t="s">
        <v>676</v>
      </c>
      <c r="R339" s="417">
        <v>42767</v>
      </c>
      <c r="S339" s="417">
        <v>43132</v>
      </c>
      <c r="T339" s="417">
        <v>43132</v>
      </c>
      <c r="U339" s="416">
        <v>0.9</v>
      </c>
      <c r="V339" s="418">
        <v>50000</v>
      </c>
      <c r="W339" s="419">
        <v>50000000</v>
      </c>
      <c r="X339" s="416" t="s">
        <v>666</v>
      </c>
      <c r="Y339" s="416" t="s">
        <v>677</v>
      </c>
      <c r="Z339" s="416" t="s">
        <v>978</v>
      </c>
      <c r="AA339" s="419">
        <v>73750</v>
      </c>
      <c r="AB339" s="419">
        <v>49928000</v>
      </c>
      <c r="AC339" s="416" t="s">
        <v>666</v>
      </c>
    </row>
    <row r="340" spans="1:29">
      <c r="A340" s="415">
        <v>4</v>
      </c>
      <c r="B340" s="415" t="s">
        <v>338</v>
      </c>
      <c r="C340" s="415">
        <v>89</v>
      </c>
      <c r="D340" s="415" t="s">
        <v>616</v>
      </c>
      <c r="E340" s="415">
        <v>10</v>
      </c>
      <c r="F340" s="415" t="s">
        <v>572</v>
      </c>
      <c r="G340" s="415">
        <v>15</v>
      </c>
      <c r="H340" s="415" t="s">
        <v>471</v>
      </c>
      <c r="I340" s="415" t="s">
        <v>577</v>
      </c>
      <c r="J340" s="415" t="s">
        <v>578</v>
      </c>
      <c r="K340" s="415">
        <v>16111612</v>
      </c>
      <c r="L340" s="41">
        <f>VLOOKUP(K340,WebPosting!$B$6:$B$561,1,FALSE)</f>
        <v>16111612</v>
      </c>
      <c r="M340" s="46">
        <f>(($V340*1000)*(IFERROR($T340-WebPosting!$K$1,"0")))</f>
        <v>8050000000</v>
      </c>
      <c r="N340" s="43">
        <f t="shared" si="5"/>
        <v>192500</v>
      </c>
      <c r="O340" s="416" t="s">
        <v>672</v>
      </c>
      <c r="P340" s="416" t="s">
        <v>679</v>
      </c>
      <c r="Q340" s="416" t="s">
        <v>680</v>
      </c>
      <c r="R340" s="417">
        <v>42690</v>
      </c>
      <c r="S340" s="417">
        <v>43147</v>
      </c>
      <c r="T340" s="417">
        <v>43147</v>
      </c>
      <c r="U340" s="416">
        <v>0.77</v>
      </c>
      <c r="V340" s="418">
        <v>25000</v>
      </c>
      <c r="W340" s="419">
        <v>25000000</v>
      </c>
      <c r="X340" s="416" t="s">
        <v>666</v>
      </c>
      <c r="Y340" s="416" t="s">
        <v>677</v>
      </c>
      <c r="Z340" s="416" t="s">
        <v>979</v>
      </c>
      <c r="AA340" s="419">
        <v>23527.78</v>
      </c>
      <c r="AB340" s="419">
        <v>24915750</v>
      </c>
      <c r="AC340" s="416" t="s">
        <v>666</v>
      </c>
    </row>
    <row r="341" spans="1:29">
      <c r="A341" s="415">
        <v>4</v>
      </c>
      <c r="B341" s="415" t="s">
        <v>338</v>
      </c>
      <c r="C341" s="415">
        <v>89</v>
      </c>
      <c r="D341" s="415" t="s">
        <v>616</v>
      </c>
      <c r="E341" s="415">
        <v>10</v>
      </c>
      <c r="F341" s="415" t="s">
        <v>572</v>
      </c>
      <c r="G341" s="415">
        <v>15</v>
      </c>
      <c r="H341" s="415" t="s">
        <v>471</v>
      </c>
      <c r="I341" s="415" t="s">
        <v>577</v>
      </c>
      <c r="J341" s="415" t="s">
        <v>578</v>
      </c>
      <c r="K341" s="415">
        <v>16090810</v>
      </c>
      <c r="L341" s="41">
        <f>VLOOKUP(K341,WebPosting!$B$6:$B$561,1,FALSE)</f>
        <v>16090810</v>
      </c>
      <c r="M341" s="46">
        <f>(($V341*1000)*(IFERROR($T341-WebPosting!$K$1,"0")))</f>
        <v>8725000000</v>
      </c>
      <c r="N341" s="43">
        <f t="shared" si="5"/>
        <v>213750</v>
      </c>
      <c r="O341" s="416" t="s">
        <v>672</v>
      </c>
      <c r="P341" s="416" t="s">
        <v>862</v>
      </c>
      <c r="Q341" s="416" t="s">
        <v>863</v>
      </c>
      <c r="R341" s="417">
        <v>42621</v>
      </c>
      <c r="S341" s="417">
        <v>43174</v>
      </c>
      <c r="T341" s="417">
        <v>43174</v>
      </c>
      <c r="U341" s="416">
        <v>0.85499999999999998</v>
      </c>
      <c r="V341" s="418">
        <v>25000</v>
      </c>
      <c r="W341" s="419">
        <v>25000000</v>
      </c>
      <c r="X341" s="416" t="s">
        <v>666</v>
      </c>
      <c r="Y341" s="416" t="s">
        <v>677</v>
      </c>
      <c r="Z341" s="416" t="s">
        <v>980</v>
      </c>
      <c r="AA341" s="419">
        <v>8906.25</v>
      </c>
      <c r="AB341" s="419">
        <v>24924000</v>
      </c>
      <c r="AC341" s="416" t="s">
        <v>666</v>
      </c>
    </row>
    <row r="342" spans="1:29">
      <c r="A342" s="415">
        <v>4</v>
      </c>
      <c r="B342" s="415" t="s">
        <v>338</v>
      </c>
      <c r="C342" s="415">
        <v>89</v>
      </c>
      <c r="D342" s="415" t="s">
        <v>616</v>
      </c>
      <c r="E342" s="415">
        <v>10</v>
      </c>
      <c r="F342" s="415" t="s">
        <v>572</v>
      </c>
      <c r="G342" s="415">
        <v>15</v>
      </c>
      <c r="H342" s="415" t="s">
        <v>471</v>
      </c>
      <c r="I342" s="415" t="s">
        <v>577</v>
      </c>
      <c r="J342" s="415" t="s">
        <v>578</v>
      </c>
      <c r="K342" s="415">
        <v>16101318</v>
      </c>
      <c r="L342" s="41">
        <f>VLOOKUP(K342,WebPosting!$B$6:$B$561,1,FALSE)</f>
        <v>16101318</v>
      </c>
      <c r="M342" s="46">
        <f>(($V342*1000)*(IFERROR($T342-WebPosting!$K$1,"0")))</f>
        <v>9450000000</v>
      </c>
      <c r="N342" s="43">
        <f t="shared" si="5"/>
        <v>218750.00000000003</v>
      </c>
      <c r="O342" s="416" t="s">
        <v>672</v>
      </c>
      <c r="P342" s="416" t="s">
        <v>844</v>
      </c>
      <c r="Q342" s="416" t="s">
        <v>845</v>
      </c>
      <c r="R342" s="417">
        <v>42656</v>
      </c>
      <c r="S342" s="417">
        <v>43203</v>
      </c>
      <c r="T342" s="417">
        <v>43203</v>
      </c>
      <c r="U342" s="416">
        <v>0.875</v>
      </c>
      <c r="V342" s="418">
        <v>25000</v>
      </c>
      <c r="W342" s="419">
        <v>25000000</v>
      </c>
      <c r="X342" s="416" t="s">
        <v>666</v>
      </c>
      <c r="Y342" s="416" t="s">
        <v>677</v>
      </c>
      <c r="Z342" s="416" t="s">
        <v>981</v>
      </c>
      <c r="AA342" s="419">
        <v>101475.71</v>
      </c>
      <c r="AB342" s="419">
        <v>24921500</v>
      </c>
      <c r="AC342" s="416" t="s">
        <v>666</v>
      </c>
    </row>
    <row r="343" spans="1:29">
      <c r="A343" s="415">
        <v>4</v>
      </c>
      <c r="B343" s="415" t="s">
        <v>338</v>
      </c>
      <c r="C343" s="415">
        <v>89</v>
      </c>
      <c r="D343" s="415" t="s">
        <v>616</v>
      </c>
      <c r="E343" s="415">
        <v>10</v>
      </c>
      <c r="F343" s="415" t="s">
        <v>572</v>
      </c>
      <c r="G343" s="415">
        <v>15</v>
      </c>
      <c r="H343" s="415" t="s">
        <v>471</v>
      </c>
      <c r="I343" s="415" t="s">
        <v>577</v>
      </c>
      <c r="J343" s="415" t="s">
        <v>578</v>
      </c>
      <c r="K343" s="415">
        <v>16111810</v>
      </c>
      <c r="L343" s="41">
        <f>VLOOKUP(K343,WebPosting!$B$6:$B$561,1,FALSE)</f>
        <v>16111810</v>
      </c>
      <c r="M343" s="46">
        <f>(($V343*1000)*(IFERROR($T343-WebPosting!$K$1,"0")))</f>
        <v>10325000000</v>
      </c>
      <c r="N343" s="43">
        <f t="shared" si="5"/>
        <v>200000</v>
      </c>
      <c r="O343" s="416" t="s">
        <v>672</v>
      </c>
      <c r="P343" s="416" t="s">
        <v>862</v>
      </c>
      <c r="Q343" s="416" t="s">
        <v>863</v>
      </c>
      <c r="R343" s="417">
        <v>42692</v>
      </c>
      <c r="S343" s="417">
        <v>43238</v>
      </c>
      <c r="T343" s="417">
        <v>43238</v>
      </c>
      <c r="U343" s="416">
        <v>0.8</v>
      </c>
      <c r="V343" s="418">
        <v>25000</v>
      </c>
      <c r="W343" s="419">
        <v>25000000</v>
      </c>
      <c r="X343" s="416" t="s">
        <v>666</v>
      </c>
      <c r="Y343" s="416" t="s">
        <v>677</v>
      </c>
      <c r="Z343" s="416" t="s">
        <v>982</v>
      </c>
      <c r="AA343" s="419">
        <v>73333.350000000006</v>
      </c>
      <c r="AB343" s="419">
        <v>24881000</v>
      </c>
      <c r="AC343" s="416" t="s">
        <v>666</v>
      </c>
    </row>
    <row r="344" spans="1:29">
      <c r="A344" s="415">
        <v>4</v>
      </c>
      <c r="B344" s="415" t="s">
        <v>338</v>
      </c>
      <c r="C344" s="415">
        <v>89</v>
      </c>
      <c r="D344" s="415" t="s">
        <v>616</v>
      </c>
      <c r="E344" s="415">
        <v>10</v>
      </c>
      <c r="F344" s="415" t="s">
        <v>572</v>
      </c>
      <c r="G344" s="415">
        <v>15</v>
      </c>
      <c r="H344" s="415" t="s">
        <v>471</v>
      </c>
      <c r="I344" s="415" t="s">
        <v>577</v>
      </c>
      <c r="J344" s="415" t="s">
        <v>578</v>
      </c>
      <c r="K344" s="415">
        <v>16120810</v>
      </c>
      <c r="L344" s="41">
        <f>VLOOKUP(K344,WebPosting!$B$6:$B$561,1,FALSE)</f>
        <v>16120810</v>
      </c>
      <c r="M344" s="46">
        <f>(($V344*1000)*(IFERROR($T344-WebPosting!$K$1,"0")))</f>
        <v>10850000000</v>
      </c>
      <c r="N344" s="43">
        <f t="shared" si="5"/>
        <v>275000</v>
      </c>
      <c r="O344" s="416" t="s">
        <v>672</v>
      </c>
      <c r="P344" s="416" t="s">
        <v>862</v>
      </c>
      <c r="Q344" s="416" t="s">
        <v>863</v>
      </c>
      <c r="R344" s="417">
        <v>42712</v>
      </c>
      <c r="S344" s="417">
        <v>43259</v>
      </c>
      <c r="T344" s="417">
        <v>43259</v>
      </c>
      <c r="U344" s="416">
        <v>1.1000000000000001</v>
      </c>
      <c r="V344" s="418">
        <v>25000</v>
      </c>
      <c r="W344" s="419">
        <v>25000000</v>
      </c>
      <c r="X344" s="416" t="s">
        <v>666</v>
      </c>
      <c r="Y344" s="416" t="s">
        <v>677</v>
      </c>
      <c r="Z344" s="416" t="s">
        <v>983</v>
      </c>
      <c r="AA344" s="419">
        <v>85555.57</v>
      </c>
      <c r="AB344" s="419">
        <v>24963250</v>
      </c>
      <c r="AC344" s="416" t="s">
        <v>666</v>
      </c>
    </row>
    <row r="345" spans="1:29">
      <c r="A345" s="415">
        <v>4</v>
      </c>
      <c r="B345" s="415" t="s">
        <v>338</v>
      </c>
      <c r="C345" s="415">
        <v>89</v>
      </c>
      <c r="D345" s="415" t="s">
        <v>616</v>
      </c>
      <c r="E345" s="415">
        <v>10</v>
      </c>
      <c r="F345" s="415" t="s">
        <v>572</v>
      </c>
      <c r="G345" s="415">
        <v>15</v>
      </c>
      <c r="H345" s="415" t="s">
        <v>471</v>
      </c>
      <c r="I345" s="415" t="s">
        <v>577</v>
      </c>
      <c r="J345" s="415" t="s">
        <v>578</v>
      </c>
      <c r="K345" s="415">
        <v>17010302</v>
      </c>
      <c r="L345" s="41">
        <f>VLOOKUP(K345,WebPosting!$B$6:$B$561,1,FALSE)</f>
        <v>17010302</v>
      </c>
      <c r="M345" s="46">
        <f>(($V345*1000)*(IFERROR($T345-WebPosting!$K$1,"0")))</f>
        <v>22950000000</v>
      </c>
      <c r="N345" s="43">
        <f t="shared" si="5"/>
        <v>550000</v>
      </c>
      <c r="O345" s="416" t="s">
        <v>672</v>
      </c>
      <c r="P345" s="416" t="s">
        <v>862</v>
      </c>
      <c r="Q345" s="416" t="s">
        <v>863</v>
      </c>
      <c r="R345" s="417">
        <v>42738</v>
      </c>
      <c r="S345" s="417">
        <v>43284</v>
      </c>
      <c r="T345" s="417">
        <v>43284</v>
      </c>
      <c r="U345" s="416">
        <v>1.1000000000000001</v>
      </c>
      <c r="V345" s="418">
        <v>50000</v>
      </c>
      <c r="W345" s="419">
        <v>50000000</v>
      </c>
      <c r="X345" s="416" t="s">
        <v>666</v>
      </c>
      <c r="Y345" s="416" t="s">
        <v>677</v>
      </c>
      <c r="Z345" s="416" t="s">
        <v>984</v>
      </c>
      <c r="AA345" s="419">
        <v>132916.66</v>
      </c>
      <c r="AB345" s="419">
        <v>49912000</v>
      </c>
      <c r="AC345" s="416" t="s">
        <v>666</v>
      </c>
    </row>
    <row r="346" spans="1:29">
      <c r="A346" s="415">
        <v>4</v>
      </c>
      <c r="B346" s="415" t="s">
        <v>338</v>
      </c>
      <c r="C346" s="415">
        <v>89</v>
      </c>
      <c r="D346" s="415" t="s">
        <v>616</v>
      </c>
      <c r="E346" s="415">
        <v>10</v>
      </c>
      <c r="F346" s="415" t="s">
        <v>572</v>
      </c>
      <c r="G346" s="415">
        <v>15</v>
      </c>
      <c r="H346" s="415" t="s">
        <v>471</v>
      </c>
      <c r="I346" s="415" t="s">
        <v>577</v>
      </c>
      <c r="J346" s="415" t="s">
        <v>578</v>
      </c>
      <c r="K346" s="415">
        <v>17020102</v>
      </c>
      <c r="L346" s="41">
        <f>VLOOKUP(K346,WebPosting!$B$6:$B$561,1,FALSE)</f>
        <v>17020102</v>
      </c>
      <c r="M346" s="46">
        <f>(($V346*1000)*(IFERROR($T346-WebPosting!$K$1,"0")))</f>
        <v>24400000000</v>
      </c>
      <c r="N346" s="43">
        <f t="shared" si="5"/>
        <v>550000</v>
      </c>
      <c r="O346" s="416" t="s">
        <v>672</v>
      </c>
      <c r="P346" s="416" t="s">
        <v>862</v>
      </c>
      <c r="Q346" s="416" t="s">
        <v>863</v>
      </c>
      <c r="R346" s="417">
        <v>42767</v>
      </c>
      <c r="S346" s="417">
        <v>43313</v>
      </c>
      <c r="T346" s="417">
        <v>43313</v>
      </c>
      <c r="U346" s="416">
        <v>1.1000000000000001</v>
      </c>
      <c r="V346" s="418">
        <v>50000</v>
      </c>
      <c r="W346" s="419">
        <v>50000000</v>
      </c>
      <c r="X346" s="416" t="s">
        <v>666</v>
      </c>
      <c r="Y346" s="416" t="s">
        <v>677</v>
      </c>
      <c r="Z346" s="416" t="s">
        <v>985</v>
      </c>
      <c r="AA346" s="419">
        <v>90138.89</v>
      </c>
      <c r="AB346" s="419">
        <v>49915000</v>
      </c>
      <c r="AC346" s="416" t="s">
        <v>666</v>
      </c>
    </row>
    <row r="347" spans="1:29">
      <c r="A347" s="415">
        <v>4</v>
      </c>
      <c r="B347" s="415" t="s">
        <v>338</v>
      </c>
      <c r="C347" s="415">
        <v>89</v>
      </c>
      <c r="D347" s="415" t="s">
        <v>616</v>
      </c>
      <c r="E347" s="415">
        <v>10</v>
      </c>
      <c r="F347" s="415" t="s">
        <v>572</v>
      </c>
      <c r="G347" s="415">
        <v>15</v>
      </c>
      <c r="H347" s="415" t="s">
        <v>471</v>
      </c>
      <c r="I347" s="415" t="s">
        <v>577</v>
      </c>
      <c r="J347" s="415" t="s">
        <v>578</v>
      </c>
      <c r="K347" s="415">
        <v>17020103</v>
      </c>
      <c r="L347" s="41">
        <f>VLOOKUP(K347,WebPosting!$B$6:$B$561,1,FALSE)</f>
        <v>17020103</v>
      </c>
      <c r="M347" s="46">
        <f>(($V347*1000)*(IFERROR($T347-WebPosting!$K$1,"0")))</f>
        <v>12200000000</v>
      </c>
      <c r="N347" s="43">
        <f t="shared" si="5"/>
        <v>280000.00000000006</v>
      </c>
      <c r="O347" s="416" t="s">
        <v>672</v>
      </c>
      <c r="P347" s="416" t="s">
        <v>685</v>
      </c>
      <c r="Q347" s="416" t="s">
        <v>686</v>
      </c>
      <c r="R347" s="417">
        <v>42767</v>
      </c>
      <c r="S347" s="417">
        <v>43313</v>
      </c>
      <c r="T347" s="417">
        <v>43313</v>
      </c>
      <c r="U347" s="416">
        <v>1.1200000000000001</v>
      </c>
      <c r="V347" s="418">
        <v>25000</v>
      </c>
      <c r="W347" s="419">
        <v>25000000</v>
      </c>
      <c r="X347" s="416" t="s">
        <v>666</v>
      </c>
      <c r="Y347" s="416" t="s">
        <v>677</v>
      </c>
      <c r="Z347" s="416" t="s">
        <v>986</v>
      </c>
      <c r="AA347" s="419">
        <v>45888.89</v>
      </c>
      <c r="AB347" s="419">
        <v>24964000</v>
      </c>
      <c r="AC347" s="416" t="s">
        <v>666</v>
      </c>
    </row>
    <row r="348" spans="1:29">
      <c r="A348" s="415">
        <v>4</v>
      </c>
      <c r="B348" s="415" t="s">
        <v>338</v>
      </c>
      <c r="C348" s="415">
        <v>89</v>
      </c>
      <c r="D348" s="415" t="s">
        <v>616</v>
      </c>
      <c r="E348" s="415">
        <v>10</v>
      </c>
      <c r="F348" s="415" t="s">
        <v>572</v>
      </c>
      <c r="G348" s="415">
        <v>15</v>
      </c>
      <c r="H348" s="415" t="s">
        <v>471</v>
      </c>
      <c r="I348" s="415" t="s">
        <v>577</v>
      </c>
      <c r="J348" s="415" t="s">
        <v>578</v>
      </c>
      <c r="K348" s="415">
        <v>17020105</v>
      </c>
      <c r="L348" s="41">
        <f>VLOOKUP(K348,WebPosting!$B$6:$B$561,1,FALSE)</f>
        <v>17020105</v>
      </c>
      <c r="M348" s="46">
        <f>(($V348*1000)*(IFERROR($T348-WebPosting!$K$1,"0")))</f>
        <v>12200000000</v>
      </c>
      <c r="N348" s="43">
        <f t="shared" si="5"/>
        <v>280000.00000000006</v>
      </c>
      <c r="O348" s="416" t="s">
        <v>672</v>
      </c>
      <c r="P348" s="416" t="s">
        <v>838</v>
      </c>
      <c r="Q348" s="416" t="s">
        <v>839</v>
      </c>
      <c r="R348" s="417">
        <v>42767</v>
      </c>
      <c r="S348" s="417">
        <v>43313</v>
      </c>
      <c r="T348" s="417">
        <v>43313</v>
      </c>
      <c r="U348" s="416">
        <v>1.1200000000000001</v>
      </c>
      <c r="V348" s="418">
        <v>25000</v>
      </c>
      <c r="W348" s="419">
        <v>25000000</v>
      </c>
      <c r="X348" s="416" t="s">
        <v>666</v>
      </c>
      <c r="Y348" s="416" t="s">
        <v>677</v>
      </c>
      <c r="Z348" s="416" t="s">
        <v>986</v>
      </c>
      <c r="AA348" s="419">
        <v>45888.89</v>
      </c>
      <c r="AB348" s="419">
        <v>24964000</v>
      </c>
      <c r="AC348" s="416" t="s">
        <v>666</v>
      </c>
    </row>
    <row r="349" spans="1:29">
      <c r="A349" s="415">
        <v>4</v>
      </c>
      <c r="B349" s="415" t="s">
        <v>338</v>
      </c>
      <c r="C349" s="415">
        <v>89</v>
      </c>
      <c r="D349" s="415" t="s">
        <v>616</v>
      </c>
      <c r="E349" s="415">
        <v>10</v>
      </c>
      <c r="F349" s="415" t="s">
        <v>572</v>
      </c>
      <c r="G349" s="415">
        <v>15</v>
      </c>
      <c r="H349" s="415" t="s">
        <v>471</v>
      </c>
      <c r="I349" s="415" t="s">
        <v>577</v>
      </c>
      <c r="J349" s="415" t="s">
        <v>578</v>
      </c>
      <c r="K349" s="415">
        <v>17022712</v>
      </c>
      <c r="L349" s="41">
        <f>VLOOKUP(K349,WebPosting!$B$6:$B$561,1,FALSE)</f>
        <v>17022712</v>
      </c>
      <c r="M349" s="46">
        <f>(($V349*1000)*(IFERROR($T349-WebPosting!$K$1,"0")))</f>
        <v>12850000000</v>
      </c>
      <c r="N349" s="43">
        <f t="shared" si="5"/>
        <v>281250</v>
      </c>
      <c r="O349" s="416" t="s">
        <v>672</v>
      </c>
      <c r="P349" s="416" t="s">
        <v>862</v>
      </c>
      <c r="Q349" s="416" t="s">
        <v>863</v>
      </c>
      <c r="R349" s="417">
        <v>42793</v>
      </c>
      <c r="S349" s="417">
        <v>43339</v>
      </c>
      <c r="T349" s="417">
        <v>43339</v>
      </c>
      <c r="U349" s="416">
        <v>1.125</v>
      </c>
      <c r="V349" s="418">
        <v>25000</v>
      </c>
      <c r="W349" s="419">
        <v>25000000</v>
      </c>
      <c r="X349" s="416" t="s">
        <v>666</v>
      </c>
      <c r="Y349" s="416" t="s">
        <v>677</v>
      </c>
      <c r="Z349" s="416" t="s">
        <v>987</v>
      </c>
      <c r="AA349" s="419">
        <v>25781.25</v>
      </c>
      <c r="AB349" s="419">
        <v>24949750</v>
      </c>
      <c r="AC349" s="416" t="s">
        <v>666</v>
      </c>
    </row>
    <row r="350" spans="1:29">
      <c r="A350" s="415">
        <v>4</v>
      </c>
      <c r="B350" s="415" t="s">
        <v>338</v>
      </c>
      <c r="C350" s="415">
        <v>89</v>
      </c>
      <c r="D350" s="415" t="s">
        <v>616</v>
      </c>
      <c r="E350" s="415">
        <v>10</v>
      </c>
      <c r="F350" s="415" t="s">
        <v>572</v>
      </c>
      <c r="G350" s="415">
        <v>15</v>
      </c>
      <c r="H350" s="415" t="s">
        <v>471</v>
      </c>
      <c r="I350" s="415" t="s">
        <v>577</v>
      </c>
      <c r="J350" s="415" t="s">
        <v>578</v>
      </c>
      <c r="K350" s="415">
        <v>17030312</v>
      </c>
      <c r="L350" s="41">
        <f>VLOOKUP(K350,WebPosting!$B$6:$B$561,1,FALSE)</f>
        <v>17030312</v>
      </c>
      <c r="M350" s="46">
        <f>(($V350*1000)*(IFERROR($T350-WebPosting!$K$1,"0")))</f>
        <v>26100000000</v>
      </c>
      <c r="N350" s="43">
        <f t="shared" si="5"/>
        <v>575000</v>
      </c>
      <c r="O350" s="416" t="s">
        <v>672</v>
      </c>
      <c r="P350" s="416" t="s">
        <v>862</v>
      </c>
      <c r="Q350" s="416" t="s">
        <v>863</v>
      </c>
      <c r="R350" s="417">
        <v>42797</v>
      </c>
      <c r="S350" s="417">
        <v>43347</v>
      </c>
      <c r="T350" s="417">
        <v>43347</v>
      </c>
      <c r="U350" s="416">
        <v>1.1499999999999999</v>
      </c>
      <c r="V350" s="418">
        <v>50000</v>
      </c>
      <c r="W350" s="419">
        <v>50000000</v>
      </c>
      <c r="X350" s="416" t="s">
        <v>666</v>
      </c>
      <c r="Y350" s="416" t="s">
        <v>677</v>
      </c>
      <c r="Z350" s="416" t="s">
        <v>988</v>
      </c>
      <c r="AA350" s="419">
        <v>43125</v>
      </c>
      <c r="AB350" s="419">
        <v>49917000</v>
      </c>
      <c r="AC350" s="416" t="s">
        <v>666</v>
      </c>
    </row>
    <row r="351" spans="1:29">
      <c r="A351" s="415">
        <v>4</v>
      </c>
      <c r="B351" s="415" t="s">
        <v>338</v>
      </c>
      <c r="C351" s="415">
        <v>89</v>
      </c>
      <c r="D351" s="415" t="s">
        <v>616</v>
      </c>
      <c r="E351" s="415">
        <v>10</v>
      </c>
      <c r="F351" s="415" t="s">
        <v>572</v>
      </c>
      <c r="G351" s="415">
        <v>15</v>
      </c>
      <c r="H351" s="415" t="s">
        <v>471</v>
      </c>
      <c r="I351" s="415" t="s">
        <v>577</v>
      </c>
      <c r="J351" s="415" t="s">
        <v>578</v>
      </c>
      <c r="K351" s="415">
        <v>17010301</v>
      </c>
      <c r="L351" s="41">
        <f>VLOOKUP(K351,WebPosting!$B$6:$B$561,1,FALSE)</f>
        <v>17010301</v>
      </c>
      <c r="M351" s="46">
        <f>(($V351*1000)*(IFERROR($T351-WebPosting!$K$1,"0")))</f>
        <v>13725000000</v>
      </c>
      <c r="N351" s="43">
        <f t="shared" si="5"/>
        <v>287500</v>
      </c>
      <c r="O351" s="416" t="s">
        <v>672</v>
      </c>
      <c r="P351" s="416" t="s">
        <v>862</v>
      </c>
      <c r="Q351" s="416" t="s">
        <v>863</v>
      </c>
      <c r="R351" s="417">
        <v>42738</v>
      </c>
      <c r="S351" s="417">
        <v>43374</v>
      </c>
      <c r="T351" s="417">
        <v>43374</v>
      </c>
      <c r="U351" s="416">
        <v>1.1499999999999999</v>
      </c>
      <c r="V351" s="418">
        <v>25000</v>
      </c>
      <c r="W351" s="419">
        <v>25000000</v>
      </c>
      <c r="X351" s="416" t="s">
        <v>666</v>
      </c>
      <c r="Y351" s="416" t="s">
        <v>677</v>
      </c>
      <c r="Z351" s="416" t="s">
        <v>989</v>
      </c>
      <c r="AA351" s="419">
        <v>69479.16</v>
      </c>
      <c r="AB351" s="419">
        <v>24941750</v>
      </c>
      <c r="AC351" s="416" t="s">
        <v>666</v>
      </c>
    </row>
    <row r="352" spans="1:29">
      <c r="A352" s="415">
        <v>4</v>
      </c>
      <c r="B352" s="415" t="s">
        <v>338</v>
      </c>
      <c r="C352" s="415">
        <v>89</v>
      </c>
      <c r="D352" s="415" t="s">
        <v>616</v>
      </c>
      <c r="E352" s="415">
        <v>10</v>
      </c>
      <c r="F352" s="415" t="s">
        <v>572</v>
      </c>
      <c r="G352" s="415">
        <v>15</v>
      </c>
      <c r="H352" s="415" t="s">
        <v>471</v>
      </c>
      <c r="I352" s="415" t="s">
        <v>577</v>
      </c>
      <c r="J352" s="415" t="s">
        <v>578</v>
      </c>
      <c r="K352" s="415">
        <v>17020208</v>
      </c>
      <c r="L352" s="41">
        <f>VLOOKUP(K352,WebPosting!$B$6:$B$561,1,FALSE)</f>
        <v>17020208</v>
      </c>
      <c r="M352" s="46">
        <f>(($V352*1000)*(IFERROR($T352-WebPosting!$K$1,"0")))</f>
        <v>11620000000</v>
      </c>
      <c r="N352" s="43">
        <f t="shared" si="5"/>
        <v>240000</v>
      </c>
      <c r="O352" s="416" t="s">
        <v>672</v>
      </c>
      <c r="P352" s="416" t="s">
        <v>862</v>
      </c>
      <c r="Q352" s="416" t="s">
        <v>863</v>
      </c>
      <c r="R352" s="417">
        <v>42768</v>
      </c>
      <c r="S352" s="417">
        <v>43406</v>
      </c>
      <c r="T352" s="417">
        <v>43406</v>
      </c>
      <c r="U352" s="416">
        <v>1.2</v>
      </c>
      <c r="V352" s="418">
        <v>20000</v>
      </c>
      <c r="W352" s="419">
        <v>20000000</v>
      </c>
      <c r="X352" s="416" t="s">
        <v>666</v>
      </c>
      <c r="Y352" s="416" t="s">
        <v>677</v>
      </c>
      <c r="Z352" s="416" t="s">
        <v>990</v>
      </c>
      <c r="AA352" s="419">
        <v>38666.67</v>
      </c>
      <c r="AB352" s="419">
        <v>19960400</v>
      </c>
      <c r="AC352" s="416" t="s">
        <v>666</v>
      </c>
    </row>
    <row r="353" spans="1:29">
      <c r="A353" s="415">
        <v>4</v>
      </c>
      <c r="B353" s="415" t="s">
        <v>338</v>
      </c>
      <c r="C353" s="415">
        <v>89</v>
      </c>
      <c r="D353" s="415" t="s">
        <v>616</v>
      </c>
      <c r="E353" s="415">
        <v>10</v>
      </c>
      <c r="F353" s="415" t="s">
        <v>572</v>
      </c>
      <c r="G353" s="415">
        <v>15</v>
      </c>
      <c r="H353" s="415" t="s">
        <v>471</v>
      </c>
      <c r="I353" s="415" t="s">
        <v>577</v>
      </c>
      <c r="J353" s="415" t="s">
        <v>578</v>
      </c>
      <c r="K353" s="415">
        <v>17020613</v>
      </c>
      <c r="L353" s="41">
        <f>VLOOKUP(K353,WebPosting!$B$6:$B$561,1,FALSE)</f>
        <v>17020613</v>
      </c>
      <c r="M353" s="46">
        <f>(($V353*1000)*(IFERROR($T353-WebPosting!$K$1,"0")))</f>
        <v>14625000000</v>
      </c>
      <c r="N353" s="43">
        <f t="shared" si="5"/>
        <v>300000</v>
      </c>
      <c r="O353" s="416" t="s">
        <v>672</v>
      </c>
      <c r="P353" s="416" t="s">
        <v>679</v>
      </c>
      <c r="Q353" s="416" t="s">
        <v>680</v>
      </c>
      <c r="R353" s="417">
        <v>42772</v>
      </c>
      <c r="S353" s="417">
        <v>43410</v>
      </c>
      <c r="T353" s="417">
        <v>43410</v>
      </c>
      <c r="U353" s="416">
        <v>1.2</v>
      </c>
      <c r="V353" s="418">
        <v>25000</v>
      </c>
      <c r="W353" s="419">
        <v>25000000</v>
      </c>
      <c r="X353" s="416" t="s">
        <v>666</v>
      </c>
      <c r="Y353" s="416" t="s">
        <v>677</v>
      </c>
      <c r="Z353" s="416" t="s">
        <v>991</v>
      </c>
      <c r="AA353" s="419">
        <v>45000</v>
      </c>
      <c r="AB353" s="419">
        <v>24948250</v>
      </c>
      <c r="AC353" s="416" t="s">
        <v>666</v>
      </c>
    </row>
    <row r="354" spans="1:29">
      <c r="A354" s="415">
        <v>4</v>
      </c>
      <c r="B354" s="415" t="s">
        <v>338</v>
      </c>
      <c r="C354" s="415">
        <v>89</v>
      </c>
      <c r="D354" s="415" t="s">
        <v>616</v>
      </c>
      <c r="E354" s="415">
        <v>10</v>
      </c>
      <c r="F354" s="415" t="s">
        <v>572</v>
      </c>
      <c r="G354" s="415">
        <v>15</v>
      </c>
      <c r="H354" s="415" t="s">
        <v>471</v>
      </c>
      <c r="I354" s="415" t="s">
        <v>577</v>
      </c>
      <c r="J354" s="415" t="s">
        <v>578</v>
      </c>
      <c r="K354" s="415">
        <v>14032808</v>
      </c>
      <c r="L354" s="41">
        <f>VLOOKUP(K354,WebPosting!$B$6:$B$561,1,FALSE)</f>
        <v>14032808</v>
      </c>
      <c r="M354" s="46">
        <f>(($V354*1000)*(IFERROR($T354-WebPosting!$K$1,"0")))</f>
        <v>17475000000</v>
      </c>
      <c r="N354" s="43">
        <f t="shared" si="5"/>
        <v>425000.00000000006</v>
      </c>
      <c r="O354" s="416" t="s">
        <v>672</v>
      </c>
      <c r="P354" s="416" t="s">
        <v>844</v>
      </c>
      <c r="Q354" s="416" t="s">
        <v>845</v>
      </c>
      <c r="R354" s="417">
        <v>41726</v>
      </c>
      <c r="S354" s="417">
        <v>43524</v>
      </c>
      <c r="T354" s="417">
        <v>43524</v>
      </c>
      <c r="U354" s="416">
        <v>1.7</v>
      </c>
      <c r="V354" s="418">
        <v>25000</v>
      </c>
      <c r="W354" s="419">
        <v>25000000</v>
      </c>
      <c r="X354" s="416" t="s">
        <v>666</v>
      </c>
      <c r="Y354" s="416" t="s">
        <v>677</v>
      </c>
      <c r="Z354" s="416" t="s">
        <v>992</v>
      </c>
      <c r="AA354" s="419">
        <v>37777.78</v>
      </c>
      <c r="AB354" s="419">
        <v>25071000</v>
      </c>
      <c r="AC354" s="416" t="s">
        <v>666</v>
      </c>
    </row>
    <row r="355" spans="1:29">
      <c r="A355" s="415">
        <v>4</v>
      </c>
      <c r="B355" s="415" t="s">
        <v>338</v>
      </c>
      <c r="C355" s="415">
        <v>89</v>
      </c>
      <c r="D355" s="415" t="s">
        <v>616</v>
      </c>
      <c r="E355" s="415">
        <v>10</v>
      </c>
      <c r="F355" s="415" t="s">
        <v>572</v>
      </c>
      <c r="G355" s="415">
        <v>15</v>
      </c>
      <c r="H355" s="415" t="s">
        <v>471</v>
      </c>
      <c r="I355" s="415" t="s">
        <v>577</v>
      </c>
      <c r="J355" s="415" t="s">
        <v>578</v>
      </c>
      <c r="K355" s="415">
        <v>17030103</v>
      </c>
      <c r="L355" s="41">
        <f>VLOOKUP(K355,WebPosting!$B$6:$B$561,1,FALSE)</f>
        <v>17030103</v>
      </c>
      <c r="M355" s="46">
        <f>(($V355*1000)*(IFERROR($T355-WebPosting!$K$1,"0")))</f>
        <v>10500000000</v>
      </c>
      <c r="N355" s="43">
        <f t="shared" si="5"/>
        <v>201000</v>
      </c>
      <c r="O355" s="416" t="s">
        <v>672</v>
      </c>
      <c r="P355" s="416" t="s">
        <v>679</v>
      </c>
      <c r="Q355" s="416" t="s">
        <v>680</v>
      </c>
      <c r="R355" s="417">
        <v>42795</v>
      </c>
      <c r="S355" s="417">
        <v>43525</v>
      </c>
      <c r="T355" s="417">
        <v>43525</v>
      </c>
      <c r="U355" s="416">
        <v>1.34</v>
      </c>
      <c r="V355" s="418">
        <v>15000</v>
      </c>
      <c r="W355" s="419">
        <v>15000000</v>
      </c>
      <c r="X355" s="416" t="s">
        <v>666</v>
      </c>
      <c r="Y355" s="416" t="s">
        <v>677</v>
      </c>
      <c r="Z355" s="416" t="s">
        <v>993</v>
      </c>
      <c r="AA355" s="419">
        <v>16191.67</v>
      </c>
      <c r="AB355" s="419">
        <v>14969850</v>
      </c>
      <c r="AC355" s="416" t="s">
        <v>666</v>
      </c>
    </row>
    <row r="356" spans="1:29">
      <c r="A356" s="415">
        <v>4</v>
      </c>
      <c r="B356" s="415" t="s">
        <v>338</v>
      </c>
      <c r="C356" s="415">
        <v>89</v>
      </c>
      <c r="D356" s="415" t="s">
        <v>616</v>
      </c>
      <c r="E356" s="415">
        <v>10</v>
      </c>
      <c r="F356" s="415" t="s">
        <v>572</v>
      </c>
      <c r="G356" s="415">
        <v>15</v>
      </c>
      <c r="H356" s="415" t="s">
        <v>471</v>
      </c>
      <c r="I356" s="415" t="s">
        <v>577</v>
      </c>
      <c r="J356" s="415" t="s">
        <v>578</v>
      </c>
      <c r="K356" s="415">
        <v>17022201</v>
      </c>
      <c r="L356" s="41">
        <f>VLOOKUP(K356,WebPosting!$B$6:$B$561,1,FALSE)</f>
        <v>17022201</v>
      </c>
      <c r="M356" s="46">
        <f>(($V356*1000)*(IFERROR($T356-WebPosting!$K$1,"0")))</f>
        <v>19550000000</v>
      </c>
      <c r="N356" s="43">
        <f t="shared" si="5"/>
        <v>367500</v>
      </c>
      <c r="O356" s="416" t="s">
        <v>672</v>
      </c>
      <c r="P356" s="416" t="s">
        <v>685</v>
      </c>
      <c r="Q356" s="416" t="s">
        <v>686</v>
      </c>
      <c r="R356" s="417">
        <v>42788</v>
      </c>
      <c r="S356" s="417">
        <v>43607</v>
      </c>
      <c r="T356" s="417">
        <v>43607</v>
      </c>
      <c r="U356" s="416">
        <v>1.47</v>
      </c>
      <c r="V356" s="418">
        <v>25000</v>
      </c>
      <c r="W356" s="419">
        <v>25000000</v>
      </c>
      <c r="X356" s="416" t="s">
        <v>666</v>
      </c>
      <c r="Y356" s="416" t="s">
        <v>677</v>
      </c>
      <c r="Z356" s="416" t="s">
        <v>994</v>
      </c>
      <c r="AA356" s="419">
        <v>38791.67</v>
      </c>
      <c r="AB356" s="419">
        <v>24976500</v>
      </c>
      <c r="AC356" s="416" t="s">
        <v>666</v>
      </c>
    </row>
    <row r="357" spans="1:29">
      <c r="A357" s="415">
        <v>4</v>
      </c>
      <c r="B357" s="415" t="s">
        <v>338</v>
      </c>
      <c r="C357" s="415">
        <v>89</v>
      </c>
      <c r="D357" s="415" t="s">
        <v>616</v>
      </c>
      <c r="E357" s="415">
        <v>10</v>
      </c>
      <c r="F357" s="415" t="s">
        <v>572</v>
      </c>
      <c r="G357" s="415">
        <v>15</v>
      </c>
      <c r="H357" s="415" t="s">
        <v>471</v>
      </c>
      <c r="I357" s="415" t="s">
        <v>577</v>
      </c>
      <c r="J357" s="415" t="s">
        <v>578</v>
      </c>
      <c r="K357" s="415">
        <v>17032309</v>
      </c>
      <c r="L357" s="41">
        <f>VLOOKUP(K357,WebPosting!$B$6:$B$561,1,FALSE)</f>
        <v>17032309</v>
      </c>
      <c r="M357" s="46">
        <f>(($V357*1000)*(IFERROR($T357-WebPosting!$K$1,"0")))</f>
        <v>20400000000</v>
      </c>
      <c r="N357" s="43">
        <f t="shared" si="5"/>
        <v>392500.00000000006</v>
      </c>
      <c r="O357" s="416" t="s">
        <v>672</v>
      </c>
      <c r="P357" s="416" t="s">
        <v>679</v>
      </c>
      <c r="Q357" s="416" t="s">
        <v>680</v>
      </c>
      <c r="R357" s="417">
        <v>42817</v>
      </c>
      <c r="S357" s="417">
        <v>43641</v>
      </c>
      <c r="T357" s="417">
        <v>43641</v>
      </c>
      <c r="U357" s="416">
        <v>1.57</v>
      </c>
      <c r="V357" s="418">
        <v>25000</v>
      </c>
      <c r="W357" s="419">
        <v>25000000</v>
      </c>
      <c r="X357" s="416" t="s">
        <v>666</v>
      </c>
      <c r="Y357" s="416" t="s">
        <v>677</v>
      </c>
      <c r="Z357" s="416" t="s">
        <v>1049</v>
      </c>
      <c r="AA357" s="419">
        <v>7631.94</v>
      </c>
      <c r="AB357" s="419">
        <v>25031000</v>
      </c>
      <c r="AC357" s="416" t="s">
        <v>666</v>
      </c>
    </row>
    <row r="358" spans="1:29">
      <c r="A358" s="415">
        <v>4</v>
      </c>
      <c r="B358" s="415" t="s">
        <v>338</v>
      </c>
      <c r="C358" s="415">
        <v>89</v>
      </c>
      <c r="D358" s="415" t="s">
        <v>616</v>
      </c>
      <c r="E358" s="415">
        <v>10</v>
      </c>
      <c r="F358" s="415" t="s">
        <v>572</v>
      </c>
      <c r="G358" s="415">
        <v>15</v>
      </c>
      <c r="H358" s="415" t="s">
        <v>471</v>
      </c>
      <c r="I358" s="415" t="s">
        <v>577</v>
      </c>
      <c r="J358" s="415" t="s">
        <v>578</v>
      </c>
      <c r="K358" s="415">
        <v>17020909</v>
      </c>
      <c r="L358" s="41">
        <f>VLOOKUP(K358,WebPosting!$B$6:$B$561,1,FALSE)</f>
        <v>17020909</v>
      </c>
      <c r="M358" s="46">
        <f>(($V358*1000)*(IFERROR($T358-WebPosting!$K$1,"0")))</f>
        <v>21525000000</v>
      </c>
      <c r="N358" s="43">
        <f t="shared" si="5"/>
        <v>362500</v>
      </c>
      <c r="O358" s="416" t="s">
        <v>672</v>
      </c>
      <c r="P358" s="416" t="s">
        <v>679</v>
      </c>
      <c r="Q358" s="416" t="s">
        <v>680</v>
      </c>
      <c r="R358" s="417">
        <v>42775</v>
      </c>
      <c r="S358" s="417">
        <v>43686</v>
      </c>
      <c r="T358" s="417">
        <v>43686</v>
      </c>
      <c r="U358" s="416">
        <v>1.45</v>
      </c>
      <c r="V358" s="418">
        <v>25000</v>
      </c>
      <c r="W358" s="419">
        <v>25000000</v>
      </c>
      <c r="X358" s="416" t="s">
        <v>666</v>
      </c>
      <c r="Y358" s="416" t="s">
        <v>677</v>
      </c>
      <c r="Z358" s="416" t="s">
        <v>995</v>
      </c>
      <c r="AA358" s="419">
        <v>51354.16</v>
      </c>
      <c r="AB358" s="419">
        <v>24934000</v>
      </c>
      <c r="AC358" s="416" t="s">
        <v>666</v>
      </c>
    </row>
    <row r="359" spans="1:29">
      <c r="A359" s="415">
        <v>4</v>
      </c>
      <c r="B359" s="415" t="s">
        <v>338</v>
      </c>
      <c r="C359" s="415">
        <v>89</v>
      </c>
      <c r="D359" s="415" t="s">
        <v>616</v>
      </c>
      <c r="E359" s="415">
        <v>10</v>
      </c>
      <c r="F359" s="415" t="s">
        <v>572</v>
      </c>
      <c r="G359" s="415">
        <v>15</v>
      </c>
      <c r="H359" s="415" t="s">
        <v>471</v>
      </c>
      <c r="I359" s="415" t="s">
        <v>577</v>
      </c>
      <c r="J359" s="415" t="s">
        <v>578</v>
      </c>
      <c r="K359" s="415">
        <v>15031217</v>
      </c>
      <c r="L359" s="41">
        <f>VLOOKUP(K359,WebPosting!$B$6:$B$561,1,FALSE)</f>
        <v>15031217</v>
      </c>
      <c r="M359" s="46">
        <f>(($V359*1000)*(IFERROR($T359-WebPosting!$K$1,"0")))</f>
        <v>12124000000</v>
      </c>
      <c r="N359" s="43">
        <f t="shared" si="5"/>
        <v>253400.00000000003</v>
      </c>
      <c r="O359" s="416" t="s">
        <v>672</v>
      </c>
      <c r="P359" s="416" t="s">
        <v>844</v>
      </c>
      <c r="Q359" s="416" t="s">
        <v>845</v>
      </c>
      <c r="R359" s="417">
        <v>41865</v>
      </c>
      <c r="S359" s="417">
        <v>43691</v>
      </c>
      <c r="T359" s="417">
        <v>43691</v>
      </c>
      <c r="U359" s="416">
        <v>1.81</v>
      </c>
      <c r="V359" s="418">
        <v>14000</v>
      </c>
      <c r="W359" s="419">
        <v>14000000</v>
      </c>
      <c r="X359" s="416" t="s">
        <v>666</v>
      </c>
      <c r="Y359" s="416" t="s">
        <v>677</v>
      </c>
      <c r="Z359" s="416" t="s">
        <v>996</v>
      </c>
      <c r="AA359" s="419">
        <v>32378.89</v>
      </c>
      <c r="AB359" s="419">
        <v>14043260</v>
      </c>
      <c r="AC359" s="416" t="s">
        <v>666</v>
      </c>
    </row>
    <row r="360" spans="1:29">
      <c r="A360" s="415">
        <v>4</v>
      </c>
      <c r="B360" s="415" t="s">
        <v>338</v>
      </c>
      <c r="C360" s="415">
        <v>89</v>
      </c>
      <c r="D360" s="415" t="s">
        <v>616</v>
      </c>
      <c r="E360" s="415">
        <v>10</v>
      </c>
      <c r="F360" s="415" t="s">
        <v>572</v>
      </c>
      <c r="G360" s="415">
        <v>15</v>
      </c>
      <c r="H360" s="415" t="s">
        <v>471</v>
      </c>
      <c r="I360" s="415" t="s">
        <v>577</v>
      </c>
      <c r="J360" s="415" t="s">
        <v>578</v>
      </c>
      <c r="K360" s="415">
        <v>17032310</v>
      </c>
      <c r="L360" s="41">
        <f>VLOOKUP(K360,WebPosting!$B$6:$B$561,1,FALSE)</f>
        <v>17032310</v>
      </c>
      <c r="M360" s="46">
        <f>(($V360*1000)*(IFERROR($T360-WebPosting!$K$1,"0")))</f>
        <v>22650000000</v>
      </c>
      <c r="N360" s="43">
        <f t="shared" si="5"/>
        <v>417500</v>
      </c>
      <c r="O360" s="416" t="s">
        <v>672</v>
      </c>
      <c r="P360" s="416" t="s">
        <v>679</v>
      </c>
      <c r="Q360" s="416" t="s">
        <v>680</v>
      </c>
      <c r="R360" s="417">
        <v>42817</v>
      </c>
      <c r="S360" s="417">
        <v>43731</v>
      </c>
      <c r="T360" s="417">
        <v>43731</v>
      </c>
      <c r="U360" s="416">
        <v>1.67</v>
      </c>
      <c r="V360" s="418">
        <v>25000</v>
      </c>
      <c r="W360" s="419">
        <v>25000000</v>
      </c>
      <c r="X360" s="416" t="s">
        <v>666</v>
      </c>
      <c r="Y360" s="416" t="s">
        <v>677</v>
      </c>
      <c r="Z360" s="416" t="s">
        <v>1050</v>
      </c>
      <c r="AA360" s="419">
        <v>8118.06</v>
      </c>
      <c r="AB360" s="419">
        <v>25047250</v>
      </c>
      <c r="AC360" s="416" t="s">
        <v>666</v>
      </c>
    </row>
    <row r="361" spans="1:29">
      <c r="A361" s="415">
        <v>4</v>
      </c>
      <c r="B361" s="415" t="s">
        <v>338</v>
      </c>
      <c r="C361" s="415">
        <v>89</v>
      </c>
      <c r="D361" s="415" t="s">
        <v>616</v>
      </c>
      <c r="E361" s="415">
        <v>10</v>
      </c>
      <c r="F361" s="415" t="s">
        <v>572</v>
      </c>
      <c r="G361" s="415">
        <v>15</v>
      </c>
      <c r="H361" s="415" t="s">
        <v>471</v>
      </c>
      <c r="I361" s="415" t="s">
        <v>577</v>
      </c>
      <c r="J361" s="415" t="s">
        <v>578</v>
      </c>
      <c r="K361" s="415">
        <v>17022202</v>
      </c>
      <c r="L361" s="41">
        <f>VLOOKUP(K361,WebPosting!$B$6:$B$561,1,FALSE)</f>
        <v>17022202</v>
      </c>
      <c r="M361" s="46">
        <f>(($V361*1000)*(IFERROR($T361-WebPosting!$K$1,"0")))</f>
        <v>24150000000</v>
      </c>
      <c r="N361" s="43">
        <f t="shared" si="5"/>
        <v>405000.00000000006</v>
      </c>
      <c r="O361" s="416" t="s">
        <v>672</v>
      </c>
      <c r="P361" s="416" t="s">
        <v>685</v>
      </c>
      <c r="Q361" s="416" t="s">
        <v>686</v>
      </c>
      <c r="R361" s="417">
        <v>42788</v>
      </c>
      <c r="S361" s="417">
        <v>43791</v>
      </c>
      <c r="T361" s="417">
        <v>43791</v>
      </c>
      <c r="U361" s="416">
        <v>1.62</v>
      </c>
      <c r="V361" s="418">
        <v>25000</v>
      </c>
      <c r="W361" s="419">
        <v>25000000</v>
      </c>
      <c r="X361" s="416" t="s">
        <v>666</v>
      </c>
      <c r="Y361" s="416" t="s">
        <v>677</v>
      </c>
      <c r="Z361" s="416" t="s">
        <v>997</v>
      </c>
      <c r="AA361" s="419">
        <v>42750</v>
      </c>
      <c r="AB361" s="419">
        <v>24982500</v>
      </c>
      <c r="AC361" s="416" t="s">
        <v>666</v>
      </c>
    </row>
    <row r="362" spans="1:29">
      <c r="A362" s="415">
        <v>4</v>
      </c>
      <c r="B362" s="415" t="s">
        <v>338</v>
      </c>
      <c r="C362" s="415">
        <v>89</v>
      </c>
      <c r="D362" s="415" t="s">
        <v>616</v>
      </c>
      <c r="E362" s="415">
        <v>10</v>
      </c>
      <c r="F362" s="415" t="s">
        <v>572</v>
      </c>
      <c r="G362" s="415">
        <v>15</v>
      </c>
      <c r="H362" s="415" t="s">
        <v>471</v>
      </c>
      <c r="I362" s="415" t="s">
        <v>577</v>
      </c>
      <c r="J362" s="415" t="s">
        <v>578</v>
      </c>
      <c r="K362" s="415">
        <v>14121114</v>
      </c>
      <c r="L362" s="41">
        <f>VLOOKUP(K362,WebPosting!$B$6:$B$561,1,FALSE)</f>
        <v>14121114</v>
      </c>
      <c r="M362" s="46">
        <f>(($V362*1000)*(IFERROR($T362-WebPosting!$K$1,"0")))</f>
        <v>10835000000</v>
      </c>
      <c r="N362" s="43">
        <f t="shared" si="5"/>
        <v>202400</v>
      </c>
      <c r="O362" s="416" t="s">
        <v>672</v>
      </c>
      <c r="P362" s="416" t="s">
        <v>844</v>
      </c>
      <c r="Q362" s="416" t="s">
        <v>845</v>
      </c>
      <c r="R362" s="417">
        <v>41984</v>
      </c>
      <c r="S362" s="417">
        <v>43810</v>
      </c>
      <c r="T362" s="417">
        <v>43810</v>
      </c>
      <c r="U362" s="416">
        <v>1.84</v>
      </c>
      <c r="V362" s="418">
        <v>11000</v>
      </c>
      <c r="W362" s="419">
        <v>11000000</v>
      </c>
      <c r="X362" s="416" t="s">
        <v>666</v>
      </c>
      <c r="Y362" s="416" t="s">
        <v>677</v>
      </c>
      <c r="Z362" s="416" t="s">
        <v>998</v>
      </c>
      <c r="AA362" s="419">
        <v>61282.23</v>
      </c>
      <c r="AB362" s="419">
        <v>11020240</v>
      </c>
      <c r="AC362" s="416" t="s">
        <v>666</v>
      </c>
    </row>
    <row r="363" spans="1:29">
      <c r="A363" s="415">
        <v>5</v>
      </c>
      <c r="B363" s="415" t="s">
        <v>617</v>
      </c>
      <c r="C363" s="415">
        <v>91</v>
      </c>
      <c r="D363" s="415" t="s">
        <v>618</v>
      </c>
      <c r="E363" s="415">
        <v>10</v>
      </c>
      <c r="F363" s="415" t="s">
        <v>619</v>
      </c>
      <c r="G363" s="415">
        <v>11</v>
      </c>
      <c r="H363" s="415" t="s">
        <v>620</v>
      </c>
      <c r="I363" s="415" t="s">
        <v>621</v>
      </c>
      <c r="J363" s="415" t="s">
        <v>622</v>
      </c>
      <c r="K363" s="415">
        <v>95012323</v>
      </c>
      <c r="L363" s="41">
        <f>VLOOKUP(K363,WebPosting!$B$6:$B$561,1,FALSE)</f>
        <v>95012323</v>
      </c>
      <c r="M363" s="46">
        <f>(($V363*1000)*(IFERROR($T363-WebPosting!$K$1,"0")))</f>
        <v>4875000</v>
      </c>
      <c r="N363" s="43">
        <f t="shared" si="5"/>
        <v>273.09999999999997</v>
      </c>
      <c r="O363" s="416" t="s">
        <v>672</v>
      </c>
      <c r="P363" s="416" t="s">
        <v>999</v>
      </c>
      <c r="Q363" s="416" t="s">
        <v>1000</v>
      </c>
      <c r="R363" s="417">
        <v>34507</v>
      </c>
      <c r="S363" s="417">
        <v>43800</v>
      </c>
      <c r="T363" s="417">
        <v>43800</v>
      </c>
      <c r="U363" s="416">
        <v>5.4619999999999997</v>
      </c>
      <c r="V363" s="416">
        <v>5</v>
      </c>
      <c r="W363" s="419">
        <v>5150.07</v>
      </c>
      <c r="X363" s="416" t="s">
        <v>666</v>
      </c>
      <c r="Y363" s="416" t="s">
        <v>663</v>
      </c>
      <c r="Z363" s="416" t="s">
        <v>664</v>
      </c>
      <c r="AA363" s="416" t="s">
        <v>665</v>
      </c>
      <c r="AB363" s="416" t="s">
        <v>666</v>
      </c>
      <c r="AC363" s="416" t="s">
        <v>666</v>
      </c>
    </row>
    <row r="364" spans="1:29">
      <c r="A364" s="415">
        <v>5</v>
      </c>
      <c r="B364" s="415" t="s">
        <v>617</v>
      </c>
      <c r="C364" s="415">
        <v>91</v>
      </c>
      <c r="D364" s="415" t="s">
        <v>618</v>
      </c>
      <c r="E364" s="415">
        <v>10</v>
      </c>
      <c r="F364" s="415" t="s">
        <v>619</v>
      </c>
      <c r="G364" s="415">
        <v>15</v>
      </c>
      <c r="H364" s="415" t="s">
        <v>331</v>
      </c>
      <c r="I364" s="415" t="s">
        <v>621</v>
      </c>
      <c r="J364" s="415" t="s">
        <v>622</v>
      </c>
      <c r="K364" s="415">
        <v>95012318</v>
      </c>
      <c r="L364" s="41">
        <f>VLOOKUP(K364,WebPosting!$B$6:$B$561,1,FALSE)</f>
        <v>95012318</v>
      </c>
      <c r="M364" s="46">
        <f>(($V364*1000)*(IFERROR($T364-WebPosting!$K$1,"0")))</f>
        <v>1158000</v>
      </c>
      <c r="N364" s="43">
        <f t="shared" si="5"/>
        <v>51.35</v>
      </c>
      <c r="O364" s="416" t="s">
        <v>672</v>
      </c>
      <c r="P364" s="416" t="s">
        <v>999</v>
      </c>
      <c r="Q364" s="416" t="s">
        <v>1000</v>
      </c>
      <c r="R364" s="417">
        <v>34148</v>
      </c>
      <c r="S364" s="417">
        <v>43983</v>
      </c>
      <c r="T364" s="417">
        <v>43983</v>
      </c>
      <c r="U364" s="416">
        <v>5.1349999999999998</v>
      </c>
      <c r="V364" s="416">
        <v>1</v>
      </c>
      <c r="W364" s="416">
        <v>753.34</v>
      </c>
      <c r="X364" s="416" t="s">
        <v>666</v>
      </c>
      <c r="Y364" s="416" t="s">
        <v>663</v>
      </c>
      <c r="Z364" s="416" t="s">
        <v>664</v>
      </c>
      <c r="AA364" s="416" t="s">
        <v>665</v>
      </c>
      <c r="AB364" s="416" t="s">
        <v>666</v>
      </c>
      <c r="AC364" s="416" t="s">
        <v>666</v>
      </c>
    </row>
    <row r="365" spans="1:29">
      <c r="A365" s="415">
        <v>5</v>
      </c>
      <c r="B365" s="415" t="s">
        <v>617</v>
      </c>
      <c r="C365" s="415">
        <v>91</v>
      </c>
      <c r="D365" s="415" t="s">
        <v>618</v>
      </c>
      <c r="E365" s="415">
        <v>10</v>
      </c>
      <c r="F365" s="415" t="s">
        <v>619</v>
      </c>
      <c r="G365" s="415">
        <v>15</v>
      </c>
      <c r="H365" s="415" t="s">
        <v>331</v>
      </c>
      <c r="I365" s="415" t="s">
        <v>621</v>
      </c>
      <c r="J365" s="415" t="s">
        <v>622</v>
      </c>
      <c r="K365" s="415">
        <v>95012322</v>
      </c>
      <c r="L365" s="41">
        <f>VLOOKUP(K365,WebPosting!$B$6:$B$561,1,FALSE)</f>
        <v>95012322</v>
      </c>
      <c r="M365" s="46">
        <f>(($V365*1000)*(IFERROR($T365-WebPosting!$K$1,"0")))</f>
        <v>5244000</v>
      </c>
      <c r="N365" s="43">
        <f t="shared" si="5"/>
        <v>238.64000000000001</v>
      </c>
      <c r="O365" s="416" t="s">
        <v>672</v>
      </c>
      <c r="P365" s="416" t="s">
        <v>999</v>
      </c>
      <c r="Q365" s="416" t="s">
        <v>1000</v>
      </c>
      <c r="R365" s="417">
        <v>34544</v>
      </c>
      <c r="S365" s="417">
        <v>44136</v>
      </c>
      <c r="T365" s="417">
        <v>44136</v>
      </c>
      <c r="U365" s="416">
        <v>5.9660000000000002</v>
      </c>
      <c r="V365" s="416">
        <v>4</v>
      </c>
      <c r="W365" s="419">
        <v>3781.01</v>
      </c>
      <c r="X365" s="416" t="s">
        <v>666</v>
      </c>
      <c r="Y365" s="416" t="s">
        <v>663</v>
      </c>
      <c r="Z365" s="416" t="s">
        <v>664</v>
      </c>
      <c r="AA365" s="416" t="s">
        <v>665</v>
      </c>
      <c r="AB365" s="416" t="s">
        <v>666</v>
      </c>
      <c r="AC365" s="416" t="s">
        <v>666</v>
      </c>
    </row>
    <row r="366" spans="1:29">
      <c r="A366" s="415">
        <v>5</v>
      </c>
      <c r="B366" s="415" t="s">
        <v>617</v>
      </c>
      <c r="C366" s="415">
        <v>91</v>
      </c>
      <c r="D366" s="415" t="s">
        <v>618</v>
      </c>
      <c r="E366" s="415">
        <v>10</v>
      </c>
      <c r="F366" s="415" t="s">
        <v>619</v>
      </c>
      <c r="G366" s="415">
        <v>15</v>
      </c>
      <c r="H366" s="415" t="s">
        <v>331</v>
      </c>
      <c r="I366" s="415" t="s">
        <v>621</v>
      </c>
      <c r="J366" s="415" t="s">
        <v>622</v>
      </c>
      <c r="K366" s="415">
        <v>95012317</v>
      </c>
      <c r="L366" s="41">
        <f>VLOOKUP(K366,WebPosting!$B$6:$B$561,1,FALSE)</f>
        <v>95012317</v>
      </c>
      <c r="M366" s="46">
        <f>(($V366*1000)*(IFERROR($T366-WebPosting!$K$1,"0")))</f>
        <v>19180000</v>
      </c>
      <c r="N366" s="43">
        <f t="shared" si="5"/>
        <v>563</v>
      </c>
      <c r="O366" s="416" t="s">
        <v>672</v>
      </c>
      <c r="P366" s="416" t="s">
        <v>999</v>
      </c>
      <c r="Q366" s="416" t="s">
        <v>1000</v>
      </c>
      <c r="R366" s="417">
        <v>34177</v>
      </c>
      <c r="S366" s="417">
        <v>44743</v>
      </c>
      <c r="T366" s="417">
        <v>44743</v>
      </c>
      <c r="U366" s="416">
        <v>5.63</v>
      </c>
      <c r="V366" s="416">
        <v>10</v>
      </c>
      <c r="W366" s="419">
        <v>10040.290000000001</v>
      </c>
      <c r="X366" s="416" t="s">
        <v>666</v>
      </c>
      <c r="Y366" s="416" t="s">
        <v>663</v>
      </c>
      <c r="Z366" s="416" t="s">
        <v>664</v>
      </c>
      <c r="AA366" s="416" t="s">
        <v>665</v>
      </c>
      <c r="AB366" s="416" t="s">
        <v>666</v>
      </c>
      <c r="AC366" s="416" t="s">
        <v>666</v>
      </c>
    </row>
    <row r="367" spans="1:29">
      <c r="A367" s="415">
        <v>5</v>
      </c>
      <c r="B367" s="415" t="s">
        <v>617</v>
      </c>
      <c r="C367" s="415">
        <v>91</v>
      </c>
      <c r="D367" s="415" t="s">
        <v>618</v>
      </c>
      <c r="E367" s="415">
        <v>10</v>
      </c>
      <c r="F367" s="415" t="s">
        <v>619</v>
      </c>
      <c r="G367" s="415">
        <v>15</v>
      </c>
      <c r="H367" s="415" t="s">
        <v>331</v>
      </c>
      <c r="I367" s="415" t="s">
        <v>621</v>
      </c>
      <c r="J367" s="415" t="s">
        <v>622</v>
      </c>
      <c r="K367" s="415">
        <v>95012325</v>
      </c>
      <c r="L367" s="41">
        <f>VLOOKUP(K367,WebPosting!$B$6:$B$561,1,FALSE)</f>
        <v>95012325</v>
      </c>
      <c r="M367" s="46">
        <f>(($V367*1000)*(IFERROR($T367-WebPosting!$K$1,"0")))</f>
        <v>10050000</v>
      </c>
      <c r="N367" s="43">
        <f t="shared" si="5"/>
        <v>241.04999999999998</v>
      </c>
      <c r="O367" s="416" t="s">
        <v>672</v>
      </c>
      <c r="P367" s="416" t="s">
        <v>999</v>
      </c>
      <c r="Q367" s="416" t="s">
        <v>1000</v>
      </c>
      <c r="R367" s="417">
        <v>34204</v>
      </c>
      <c r="S367" s="417">
        <v>44835</v>
      </c>
      <c r="T367" s="417">
        <v>44835</v>
      </c>
      <c r="U367" s="416">
        <v>4.8209999999999997</v>
      </c>
      <c r="V367" s="416">
        <v>5</v>
      </c>
      <c r="W367" s="419">
        <v>5398.36</v>
      </c>
      <c r="X367" s="416" t="s">
        <v>666</v>
      </c>
      <c r="Y367" s="416" t="s">
        <v>663</v>
      </c>
      <c r="Z367" s="416" t="s">
        <v>664</v>
      </c>
      <c r="AA367" s="416" t="s">
        <v>665</v>
      </c>
      <c r="AB367" s="416" t="s">
        <v>666</v>
      </c>
      <c r="AC367" s="416" t="s">
        <v>666</v>
      </c>
    </row>
    <row r="368" spans="1:29">
      <c r="A368" s="415">
        <v>5</v>
      </c>
      <c r="B368" s="415" t="s">
        <v>617</v>
      </c>
      <c r="C368" s="415">
        <v>91</v>
      </c>
      <c r="D368" s="415" t="s">
        <v>618</v>
      </c>
      <c r="E368" s="415">
        <v>10</v>
      </c>
      <c r="F368" s="415" t="s">
        <v>619</v>
      </c>
      <c r="G368" s="415">
        <v>15</v>
      </c>
      <c r="H368" s="415" t="s">
        <v>331</v>
      </c>
      <c r="I368" s="415" t="s">
        <v>621</v>
      </c>
      <c r="J368" s="415" t="s">
        <v>622</v>
      </c>
      <c r="K368" s="415">
        <v>95012321</v>
      </c>
      <c r="L368" s="41">
        <f>VLOOKUP(K368,WebPosting!$B$6:$B$561,1,FALSE)</f>
        <v>95012321</v>
      </c>
      <c r="M368" s="46">
        <f>(($V368*1000)*(IFERROR($T368-WebPosting!$K$1,"0")))</f>
        <v>28574000</v>
      </c>
      <c r="N368" s="43">
        <f t="shared" si="5"/>
        <v>753.9</v>
      </c>
      <c r="O368" s="416" t="s">
        <v>672</v>
      </c>
      <c r="P368" s="416" t="s">
        <v>999</v>
      </c>
      <c r="Q368" s="416" t="s">
        <v>1000</v>
      </c>
      <c r="R368" s="417">
        <v>34331</v>
      </c>
      <c r="S368" s="417">
        <v>44866</v>
      </c>
      <c r="T368" s="417">
        <v>44866</v>
      </c>
      <c r="U368" s="416">
        <v>5.3849999999999998</v>
      </c>
      <c r="V368" s="416">
        <v>14</v>
      </c>
      <c r="W368" s="419">
        <v>13869.97</v>
      </c>
      <c r="X368" s="416" t="s">
        <v>666</v>
      </c>
      <c r="Y368" s="416" t="s">
        <v>663</v>
      </c>
      <c r="Z368" s="416" t="s">
        <v>664</v>
      </c>
      <c r="AA368" s="416" t="s">
        <v>665</v>
      </c>
      <c r="AB368" s="416" t="s">
        <v>666</v>
      </c>
      <c r="AC368" s="416" t="s">
        <v>666</v>
      </c>
    </row>
    <row r="369" spans="1:29">
      <c r="A369" s="415">
        <v>5</v>
      </c>
      <c r="B369" s="415" t="s">
        <v>617</v>
      </c>
      <c r="C369" s="415">
        <v>92</v>
      </c>
      <c r="D369" s="415" t="s">
        <v>623</v>
      </c>
      <c r="E369" s="415">
        <v>10</v>
      </c>
      <c r="F369" s="415" t="s">
        <v>619</v>
      </c>
      <c r="G369" s="415">
        <v>11</v>
      </c>
      <c r="H369" s="415" t="s">
        <v>624</v>
      </c>
      <c r="I369" s="415" t="s">
        <v>621</v>
      </c>
      <c r="J369" s="415" t="s">
        <v>622</v>
      </c>
      <c r="K369" s="415">
        <v>95011708</v>
      </c>
      <c r="L369" s="41">
        <f>VLOOKUP(K369,WebPosting!$B$6:$B$561,1,FALSE)</f>
        <v>95011708</v>
      </c>
      <c r="M369" s="46">
        <f>(($V369*1000)*(IFERROR($T369-WebPosting!$K$1,"0")))</f>
        <v>614000</v>
      </c>
      <c r="N369" s="43">
        <f t="shared" si="5"/>
        <v>150</v>
      </c>
      <c r="O369" s="416" t="s">
        <v>672</v>
      </c>
      <c r="P369" s="416" t="s">
        <v>999</v>
      </c>
      <c r="Q369" s="416" t="s">
        <v>1000</v>
      </c>
      <c r="R369" s="417">
        <v>33751</v>
      </c>
      <c r="S369" s="417">
        <v>43132</v>
      </c>
      <c r="T369" s="417">
        <v>43132</v>
      </c>
      <c r="U369" s="416">
        <v>7.5</v>
      </c>
      <c r="V369" s="416">
        <v>2</v>
      </c>
      <c r="W369" s="419">
        <v>2483.75</v>
      </c>
      <c r="X369" s="416" t="s">
        <v>666</v>
      </c>
      <c r="Y369" s="416" t="s">
        <v>663</v>
      </c>
      <c r="Z369" s="416" t="s">
        <v>664</v>
      </c>
      <c r="AA369" s="416" t="s">
        <v>665</v>
      </c>
      <c r="AB369" s="416" t="s">
        <v>666</v>
      </c>
      <c r="AC369" s="416" t="s">
        <v>666</v>
      </c>
    </row>
    <row r="370" spans="1:29">
      <c r="A370" s="415">
        <v>5</v>
      </c>
      <c r="B370" s="415" t="s">
        <v>617</v>
      </c>
      <c r="C370" s="415">
        <v>92</v>
      </c>
      <c r="D370" s="415" t="s">
        <v>623</v>
      </c>
      <c r="E370" s="415">
        <v>10</v>
      </c>
      <c r="F370" s="415" t="s">
        <v>619</v>
      </c>
      <c r="G370" s="415">
        <v>11</v>
      </c>
      <c r="H370" s="415" t="s">
        <v>624</v>
      </c>
      <c r="I370" s="415" t="s">
        <v>621</v>
      </c>
      <c r="J370" s="415" t="s">
        <v>622</v>
      </c>
      <c r="K370" s="415">
        <v>95011706</v>
      </c>
      <c r="L370" s="41">
        <f>VLOOKUP(K370,WebPosting!$B$6:$B$561,1,FALSE)</f>
        <v>95011706</v>
      </c>
      <c r="M370" s="46">
        <f>(($V370*1000)*(IFERROR($T370-WebPosting!$K$1,"0")))</f>
        <v>700000</v>
      </c>
      <c r="N370" s="43">
        <f t="shared" si="5"/>
        <v>76.509999999999991</v>
      </c>
      <c r="O370" s="416" t="s">
        <v>672</v>
      </c>
      <c r="P370" s="416" t="s">
        <v>999</v>
      </c>
      <c r="Q370" s="416" t="s">
        <v>1000</v>
      </c>
      <c r="R370" s="417">
        <v>33751</v>
      </c>
      <c r="S370" s="417">
        <v>43525</v>
      </c>
      <c r="T370" s="417">
        <v>43525</v>
      </c>
      <c r="U370" s="416">
        <v>7.6509999999999998</v>
      </c>
      <c r="V370" s="416">
        <v>1</v>
      </c>
      <c r="W370" s="416">
        <v>607.21</v>
      </c>
      <c r="X370" s="416" t="s">
        <v>666</v>
      </c>
      <c r="Y370" s="416" t="s">
        <v>663</v>
      </c>
      <c r="Z370" s="416" t="s">
        <v>664</v>
      </c>
      <c r="AA370" s="416" t="s">
        <v>665</v>
      </c>
      <c r="AB370" s="416" t="s">
        <v>666</v>
      </c>
      <c r="AC370" s="416" t="s">
        <v>666</v>
      </c>
    </row>
    <row r="371" spans="1:29">
      <c r="A371" s="415">
        <v>5</v>
      </c>
      <c r="B371" s="415" t="s">
        <v>617</v>
      </c>
      <c r="C371" s="415">
        <v>92</v>
      </c>
      <c r="D371" s="415" t="s">
        <v>623</v>
      </c>
      <c r="E371" s="415">
        <v>10</v>
      </c>
      <c r="F371" s="415" t="s">
        <v>619</v>
      </c>
      <c r="G371" s="415">
        <v>11</v>
      </c>
      <c r="H371" s="415" t="s">
        <v>624</v>
      </c>
      <c r="I371" s="415" t="s">
        <v>621</v>
      </c>
      <c r="J371" s="415" t="s">
        <v>622</v>
      </c>
      <c r="K371" s="415">
        <v>7113009</v>
      </c>
      <c r="L371" s="41">
        <f>VLOOKUP(K371,WebPosting!$B$6:$B$561,1,FALSE)</f>
        <v>7113009</v>
      </c>
      <c r="M371" s="46">
        <f>(($V371*1000)*(IFERROR($T371-WebPosting!$K$1,"0")))</f>
        <v>1584000</v>
      </c>
      <c r="N371" s="43">
        <f t="shared" si="5"/>
        <v>136.6592</v>
      </c>
      <c r="O371" s="416" t="s">
        <v>672</v>
      </c>
      <c r="P371" s="416" t="s">
        <v>999</v>
      </c>
      <c r="Q371" s="416" t="s">
        <v>1000</v>
      </c>
      <c r="R371" s="417">
        <v>39355</v>
      </c>
      <c r="S371" s="417">
        <v>43617</v>
      </c>
      <c r="T371" s="417">
        <v>43617</v>
      </c>
      <c r="U371" s="416">
        <v>6.8329599999999999</v>
      </c>
      <c r="V371" s="416">
        <v>2</v>
      </c>
      <c r="W371" s="419">
        <v>1812.29</v>
      </c>
      <c r="X371" s="416" t="s">
        <v>666</v>
      </c>
      <c r="Y371" s="416" t="s">
        <v>663</v>
      </c>
      <c r="Z371" s="416" t="s">
        <v>664</v>
      </c>
      <c r="AA371" s="416" t="s">
        <v>665</v>
      </c>
      <c r="AB371" s="416" t="s">
        <v>666</v>
      </c>
      <c r="AC371" s="416" t="s">
        <v>666</v>
      </c>
    </row>
    <row r="372" spans="1:29">
      <c r="A372" s="415">
        <v>5</v>
      </c>
      <c r="B372" s="415" t="s">
        <v>617</v>
      </c>
      <c r="C372" s="415">
        <v>92</v>
      </c>
      <c r="D372" s="415" t="s">
        <v>623</v>
      </c>
      <c r="E372" s="415">
        <v>10</v>
      </c>
      <c r="F372" s="415" t="s">
        <v>619</v>
      </c>
      <c r="G372" s="415">
        <v>11</v>
      </c>
      <c r="H372" s="415" t="s">
        <v>624</v>
      </c>
      <c r="I372" s="415" t="s">
        <v>621</v>
      </c>
      <c r="J372" s="415" t="s">
        <v>622</v>
      </c>
      <c r="K372" s="415">
        <v>95011711</v>
      </c>
      <c r="L372" s="41">
        <f>VLOOKUP(K372,WebPosting!$B$6:$B$561,1,FALSE)</f>
        <v>95011711</v>
      </c>
      <c r="M372" s="46">
        <f>(($V372*1000)*(IFERROR($T372-WebPosting!$K$1,"0")))</f>
        <v>8530000</v>
      </c>
      <c r="N372" s="43">
        <f t="shared" si="5"/>
        <v>273.55</v>
      </c>
      <c r="O372" s="416" t="s">
        <v>672</v>
      </c>
      <c r="P372" s="416" t="s">
        <v>999</v>
      </c>
      <c r="Q372" s="416" t="s">
        <v>1000</v>
      </c>
      <c r="R372" s="417">
        <v>33960</v>
      </c>
      <c r="S372" s="417">
        <v>44531</v>
      </c>
      <c r="T372" s="417">
        <v>44531</v>
      </c>
      <c r="U372" s="416">
        <v>5.4710000000000001</v>
      </c>
      <c r="V372" s="416">
        <v>5</v>
      </c>
      <c r="W372" s="419">
        <v>5204.66</v>
      </c>
      <c r="X372" s="416" t="s">
        <v>666</v>
      </c>
      <c r="Y372" s="416" t="s">
        <v>663</v>
      </c>
      <c r="Z372" s="416" t="s">
        <v>664</v>
      </c>
      <c r="AA372" s="416" t="s">
        <v>665</v>
      </c>
      <c r="AB372" s="416" t="s">
        <v>666</v>
      </c>
      <c r="AC372" s="416" t="s">
        <v>666</v>
      </c>
    </row>
    <row r="373" spans="1:29">
      <c r="A373" s="415">
        <v>5</v>
      </c>
      <c r="B373" s="415" t="s">
        <v>617</v>
      </c>
      <c r="C373" s="415">
        <v>92</v>
      </c>
      <c r="D373" s="415" t="s">
        <v>623</v>
      </c>
      <c r="E373" s="415">
        <v>10</v>
      </c>
      <c r="F373" s="415" t="s">
        <v>619</v>
      </c>
      <c r="G373" s="415">
        <v>11</v>
      </c>
      <c r="H373" s="415" t="s">
        <v>624</v>
      </c>
      <c r="I373" s="415" t="s">
        <v>621</v>
      </c>
      <c r="J373" s="415" t="s">
        <v>622</v>
      </c>
      <c r="K373" s="415">
        <v>95011703</v>
      </c>
      <c r="L373" s="41">
        <f>VLOOKUP(K373,WebPosting!$B$6:$B$561,1,FALSE)</f>
        <v>95011703</v>
      </c>
      <c r="M373" s="46">
        <f>(($V373*1000)*(IFERROR($T373-WebPosting!$K$1,"0")))</f>
        <v>1737000</v>
      </c>
      <c r="N373" s="43">
        <f t="shared" si="5"/>
        <v>73.510000000000005</v>
      </c>
      <c r="O373" s="416" t="s">
        <v>672</v>
      </c>
      <c r="P373" s="416" t="s">
        <v>999</v>
      </c>
      <c r="Q373" s="416" t="s">
        <v>1000</v>
      </c>
      <c r="R373" s="417">
        <v>33751</v>
      </c>
      <c r="S373" s="417">
        <v>44562</v>
      </c>
      <c r="T373" s="417">
        <v>44562</v>
      </c>
      <c r="U373" s="416">
        <v>7.351</v>
      </c>
      <c r="V373" s="416">
        <v>1</v>
      </c>
      <c r="W373" s="416">
        <v>610.52</v>
      </c>
      <c r="X373" s="416" t="s">
        <v>666</v>
      </c>
      <c r="Y373" s="416" t="s">
        <v>663</v>
      </c>
      <c r="Z373" s="416" t="s">
        <v>664</v>
      </c>
      <c r="AA373" s="416" t="s">
        <v>665</v>
      </c>
      <c r="AB373" s="416" t="s">
        <v>666</v>
      </c>
      <c r="AC373" s="416" t="s">
        <v>666</v>
      </c>
    </row>
    <row r="374" spans="1:29">
      <c r="A374" s="415">
        <v>4</v>
      </c>
      <c r="B374" s="415" t="s">
        <v>338</v>
      </c>
      <c r="C374" s="415">
        <v>95</v>
      </c>
      <c r="D374" s="415" t="s">
        <v>625</v>
      </c>
      <c r="E374" s="415">
        <v>10</v>
      </c>
      <c r="F374" s="415" t="s">
        <v>619</v>
      </c>
      <c r="G374" s="415">
        <v>15</v>
      </c>
      <c r="H374" s="415" t="s">
        <v>471</v>
      </c>
      <c r="I374" s="415" t="s">
        <v>626</v>
      </c>
      <c r="J374" s="415" t="s">
        <v>627</v>
      </c>
      <c r="K374" s="415">
        <v>15020310</v>
      </c>
      <c r="L374" s="41">
        <f>VLOOKUP(K374,WebPosting!$B$6:$B$561,1,FALSE)</f>
        <v>15020310</v>
      </c>
      <c r="M374" s="46">
        <f>(($V374*1000)*(IFERROR($T374-WebPosting!$K$1,"0")))</f>
        <v>3070000000</v>
      </c>
      <c r="N374" s="43">
        <f t="shared" si="5"/>
        <v>181000.00000000003</v>
      </c>
      <c r="O374" s="416" t="s">
        <v>672</v>
      </c>
      <c r="P374" s="416" t="s">
        <v>1001</v>
      </c>
      <c r="Q374" s="416" t="s">
        <v>1002</v>
      </c>
      <c r="R374" s="417">
        <v>42036</v>
      </c>
      <c r="S374" s="417">
        <v>43132</v>
      </c>
      <c r="T374" s="417">
        <v>43132</v>
      </c>
      <c r="U374" s="416">
        <v>1.81</v>
      </c>
      <c r="V374" s="418">
        <v>10000</v>
      </c>
      <c r="W374" s="419">
        <v>10000000</v>
      </c>
      <c r="X374" s="416" t="s">
        <v>666</v>
      </c>
      <c r="Y374" s="416" t="s">
        <v>677</v>
      </c>
      <c r="Z374" s="416" t="s">
        <v>1003</v>
      </c>
      <c r="AA374" s="419">
        <v>75000</v>
      </c>
      <c r="AB374" s="419">
        <v>10000000</v>
      </c>
      <c r="AC374" s="416" t="s">
        <v>666</v>
      </c>
    </row>
    <row r="375" spans="1:29">
      <c r="A375" s="415">
        <v>4</v>
      </c>
      <c r="B375" s="415" t="s">
        <v>338</v>
      </c>
      <c r="C375" s="415">
        <v>95</v>
      </c>
      <c r="D375" s="415" t="s">
        <v>625</v>
      </c>
      <c r="E375" s="415">
        <v>10</v>
      </c>
      <c r="F375" s="415" t="s">
        <v>619</v>
      </c>
      <c r="G375" s="415">
        <v>15</v>
      </c>
      <c r="H375" s="415" t="s">
        <v>471</v>
      </c>
      <c r="I375" s="415" t="s">
        <v>626</v>
      </c>
      <c r="J375" s="415" t="s">
        <v>627</v>
      </c>
      <c r="K375" s="415">
        <v>16081510</v>
      </c>
      <c r="L375" s="41">
        <f>VLOOKUP(K375,WebPosting!$B$6:$B$561,1,FALSE)</f>
        <v>16081510</v>
      </c>
      <c r="M375" s="46">
        <f>(($V375*1000)*(IFERROR($T375-WebPosting!$K$1,"0")))</f>
        <v>4880000000</v>
      </c>
      <c r="N375" s="43">
        <f t="shared" si="5"/>
        <v>152500</v>
      </c>
      <c r="O375" s="416" t="s">
        <v>672</v>
      </c>
      <c r="P375" s="416" t="s">
        <v>1001</v>
      </c>
      <c r="Q375" s="416" t="s">
        <v>1002</v>
      </c>
      <c r="R375" s="417">
        <v>42597</v>
      </c>
      <c r="S375" s="417">
        <v>43313</v>
      </c>
      <c r="T375" s="417">
        <v>43313</v>
      </c>
      <c r="U375" s="416">
        <v>1.5249999999999999</v>
      </c>
      <c r="V375" s="418">
        <v>10000</v>
      </c>
      <c r="W375" s="419">
        <v>10000000</v>
      </c>
      <c r="X375" s="416" t="s">
        <v>666</v>
      </c>
      <c r="Y375" s="416" t="s">
        <v>677</v>
      </c>
      <c r="Z375" s="416" t="s">
        <v>1004</v>
      </c>
      <c r="AA375" s="419">
        <v>50274.73</v>
      </c>
      <c r="AB375" s="419">
        <v>10000000</v>
      </c>
      <c r="AC375" s="416" t="s">
        <v>666</v>
      </c>
    </row>
    <row r="376" spans="1:29">
      <c r="A376" s="415">
        <v>4</v>
      </c>
      <c r="B376" s="415" t="s">
        <v>338</v>
      </c>
      <c r="C376" s="415">
        <v>95</v>
      </c>
      <c r="D376" s="415" t="s">
        <v>625</v>
      </c>
      <c r="E376" s="415">
        <v>10</v>
      </c>
      <c r="F376" s="415" t="s">
        <v>619</v>
      </c>
      <c r="G376" s="415">
        <v>15</v>
      </c>
      <c r="H376" s="415" t="s">
        <v>471</v>
      </c>
      <c r="I376" s="415" t="s">
        <v>626</v>
      </c>
      <c r="J376" s="415" t="s">
        <v>627</v>
      </c>
      <c r="K376" s="415">
        <v>16050220</v>
      </c>
      <c r="L376" s="41">
        <f>VLOOKUP(K376,WebPosting!$B$6:$B$561,1,FALSE)</f>
        <v>16050220</v>
      </c>
      <c r="M376" s="46">
        <f>(($V376*1000)*(IFERROR($T376-WebPosting!$K$1,"0")))</f>
        <v>7000000000</v>
      </c>
      <c r="N376" s="43">
        <f t="shared" si="5"/>
        <v>204000.00000000003</v>
      </c>
      <c r="O376" s="416" t="s">
        <v>672</v>
      </c>
      <c r="P376" s="416" t="s">
        <v>1001</v>
      </c>
      <c r="Q376" s="416" t="s">
        <v>1002</v>
      </c>
      <c r="R376" s="417">
        <v>42430</v>
      </c>
      <c r="S376" s="417">
        <v>43525</v>
      </c>
      <c r="T376" s="417">
        <v>43525</v>
      </c>
      <c r="U376" s="416">
        <v>2.04</v>
      </c>
      <c r="V376" s="418">
        <v>10000</v>
      </c>
      <c r="W376" s="419">
        <v>10000000</v>
      </c>
      <c r="X376" s="416" t="s">
        <v>666</v>
      </c>
      <c r="Y376" s="416" t="s">
        <v>677</v>
      </c>
      <c r="Z376" s="416" t="s">
        <v>1005</v>
      </c>
      <c r="AA376" s="419">
        <v>84530.38</v>
      </c>
      <c r="AB376" s="419">
        <v>10000000</v>
      </c>
      <c r="AC376" s="416" t="s">
        <v>666</v>
      </c>
    </row>
    <row r="377" spans="1:29">
      <c r="A377" s="415">
        <v>4</v>
      </c>
      <c r="B377" s="415" t="s">
        <v>338</v>
      </c>
      <c r="C377" s="415">
        <v>95</v>
      </c>
      <c r="D377" s="415" t="s">
        <v>625</v>
      </c>
      <c r="E377" s="415">
        <v>10</v>
      </c>
      <c r="F377" s="415" t="s">
        <v>619</v>
      </c>
      <c r="G377" s="415">
        <v>15</v>
      </c>
      <c r="H377" s="415" t="s">
        <v>471</v>
      </c>
      <c r="I377" s="415" t="s">
        <v>626</v>
      </c>
      <c r="J377" s="415" t="s">
        <v>627</v>
      </c>
      <c r="K377" s="415">
        <v>17030104</v>
      </c>
      <c r="L377" s="41">
        <f>VLOOKUP(K377,WebPosting!$B$6:$B$561,1,FALSE)</f>
        <v>17030104</v>
      </c>
      <c r="M377" s="46">
        <f>(($V377*1000)*(IFERROR($T377-WebPosting!$K$1,"0")))</f>
        <v>10660000000</v>
      </c>
      <c r="N377" s="43">
        <f t="shared" si="5"/>
        <v>267000</v>
      </c>
      <c r="O377" s="416" t="s">
        <v>672</v>
      </c>
      <c r="P377" s="416" t="s">
        <v>1001</v>
      </c>
      <c r="Q377" s="416" t="s">
        <v>1002</v>
      </c>
      <c r="R377" s="417">
        <v>42795</v>
      </c>
      <c r="S377" s="417">
        <v>43891</v>
      </c>
      <c r="T377" s="417">
        <v>43891</v>
      </c>
      <c r="U377" s="416">
        <v>2.67</v>
      </c>
      <c r="V377" s="418">
        <v>10000</v>
      </c>
      <c r="W377" s="419">
        <v>10000000</v>
      </c>
      <c r="X377" s="416" t="s">
        <v>666</v>
      </c>
      <c r="Y377" s="416" t="s">
        <v>677</v>
      </c>
      <c r="Z377" s="416" t="s">
        <v>1006</v>
      </c>
      <c r="AA377" s="419">
        <v>22127.07</v>
      </c>
      <c r="AB377" s="419">
        <v>10000000</v>
      </c>
      <c r="AC377" s="416" t="s">
        <v>666</v>
      </c>
    </row>
    <row r="378" spans="1:29">
      <c r="A378" s="415">
        <v>6</v>
      </c>
      <c r="B378" s="415" t="s">
        <v>628</v>
      </c>
      <c r="C378" s="415">
        <v>98</v>
      </c>
      <c r="D378" s="415" t="s">
        <v>629</v>
      </c>
      <c r="E378" s="415">
        <v>10</v>
      </c>
      <c r="F378" s="415" t="s">
        <v>619</v>
      </c>
      <c r="G378" s="415">
        <v>81</v>
      </c>
      <c r="H378" s="415" t="s">
        <v>630</v>
      </c>
      <c r="I378" s="415" t="s">
        <v>631</v>
      </c>
      <c r="J378" s="415" t="s">
        <v>632</v>
      </c>
      <c r="K378" s="415">
        <v>11121317</v>
      </c>
      <c r="L378" s="41">
        <f>VLOOKUP(K378,WebPosting!$B$6:$B$561,1,FALSE)</f>
        <v>11121317</v>
      </c>
      <c r="M378" s="46">
        <f>(($V378*1000)*(IFERROR($T378-WebPosting!$K$1,"0")))</f>
        <v>0</v>
      </c>
      <c r="N378" s="43">
        <f t="shared" si="5"/>
        <v>0</v>
      </c>
      <c r="O378" s="416" t="s">
        <v>672</v>
      </c>
      <c r="P378" s="416" t="s">
        <v>1007</v>
      </c>
      <c r="Q378" s="416" t="s">
        <v>630</v>
      </c>
      <c r="R378" s="417">
        <v>40885</v>
      </c>
      <c r="S378" s="416" t="s">
        <v>696</v>
      </c>
      <c r="T378" s="416" t="s">
        <v>696</v>
      </c>
      <c r="U378" s="416">
        <v>0</v>
      </c>
      <c r="V378" s="416">
        <v>699</v>
      </c>
      <c r="W378" s="419">
        <v>698968.87</v>
      </c>
      <c r="X378" s="416" t="s">
        <v>666</v>
      </c>
      <c r="Y378" s="416" t="s">
        <v>677</v>
      </c>
      <c r="Z378" s="416" t="s">
        <v>664</v>
      </c>
      <c r="AA378" s="416" t="s">
        <v>665</v>
      </c>
      <c r="AB378" s="416" t="s">
        <v>666</v>
      </c>
      <c r="AC378" s="416" t="s">
        <v>666</v>
      </c>
    </row>
    <row r="379" spans="1:29">
      <c r="A379" s="415">
        <v>6</v>
      </c>
      <c r="B379" s="415" t="s">
        <v>628</v>
      </c>
      <c r="C379" s="415">
        <v>98</v>
      </c>
      <c r="D379" s="415" t="s">
        <v>629</v>
      </c>
      <c r="E379" s="415">
        <v>10</v>
      </c>
      <c r="F379" s="415" t="s">
        <v>619</v>
      </c>
      <c r="G379" s="415">
        <v>82</v>
      </c>
      <c r="H379" s="415" t="s">
        <v>633</v>
      </c>
      <c r="I379" s="415" t="s">
        <v>631</v>
      </c>
      <c r="J379" s="415" t="s">
        <v>632</v>
      </c>
      <c r="K379" s="415">
        <v>10111001</v>
      </c>
      <c r="L379" s="41">
        <f>VLOOKUP(K379,WebPosting!$B$6:$B$561,1,FALSE)</f>
        <v>10111001</v>
      </c>
      <c r="M379" s="46">
        <f>(($V379*1000)*(IFERROR($T379-WebPosting!$K$1,"0")))</f>
        <v>0</v>
      </c>
      <c r="N379" s="43">
        <f t="shared" si="5"/>
        <v>0</v>
      </c>
      <c r="O379" s="416" t="s">
        <v>672</v>
      </c>
      <c r="P379" s="416" t="s">
        <v>1008</v>
      </c>
      <c r="Q379" s="416" t="s">
        <v>633</v>
      </c>
      <c r="R379" s="417">
        <v>40492</v>
      </c>
      <c r="S379" s="416" t="s">
        <v>696</v>
      </c>
      <c r="T379" s="416" t="s">
        <v>696</v>
      </c>
      <c r="U379" s="416">
        <v>0</v>
      </c>
      <c r="V379" s="418">
        <v>1348</v>
      </c>
      <c r="W379" s="419">
        <v>1348373.87</v>
      </c>
      <c r="X379" s="416" t="s">
        <v>666</v>
      </c>
      <c r="Y379" s="416" t="s">
        <v>677</v>
      </c>
      <c r="Z379" s="416" t="s">
        <v>664</v>
      </c>
      <c r="AA379" s="416" t="s">
        <v>665</v>
      </c>
      <c r="AB379" s="416" t="s">
        <v>666</v>
      </c>
      <c r="AC379" s="416" t="s">
        <v>666</v>
      </c>
    </row>
    <row r="380" spans="1:29">
      <c r="A380" s="415">
        <v>6</v>
      </c>
      <c r="B380" s="415" t="s">
        <v>628</v>
      </c>
      <c r="C380" s="415">
        <v>98</v>
      </c>
      <c r="D380" s="415" t="s">
        <v>629</v>
      </c>
      <c r="E380" s="415">
        <v>10</v>
      </c>
      <c r="F380" s="415" t="s">
        <v>619</v>
      </c>
      <c r="G380" s="415">
        <v>83</v>
      </c>
      <c r="H380" s="415" t="s">
        <v>634</v>
      </c>
      <c r="I380" s="415" t="s">
        <v>631</v>
      </c>
      <c r="J380" s="415" t="s">
        <v>632</v>
      </c>
      <c r="K380" s="415">
        <v>10110201</v>
      </c>
      <c r="L380" s="41">
        <f>VLOOKUP(K380,WebPosting!$B$6:$B$561,1,FALSE)</f>
        <v>10110201</v>
      </c>
      <c r="M380" s="46">
        <f>(($V380*1000)*(IFERROR($T380-WebPosting!$K$1,"0")))</f>
        <v>0</v>
      </c>
      <c r="N380" s="43">
        <f t="shared" si="5"/>
        <v>0</v>
      </c>
      <c r="O380" s="416" t="s">
        <v>672</v>
      </c>
      <c r="P380" s="416" t="s">
        <v>1009</v>
      </c>
      <c r="Q380" s="416" t="s">
        <v>634</v>
      </c>
      <c r="R380" s="417">
        <v>40484</v>
      </c>
      <c r="S380" s="416" t="s">
        <v>696</v>
      </c>
      <c r="T380" s="416" t="s">
        <v>696</v>
      </c>
      <c r="U380" s="416">
        <v>0</v>
      </c>
      <c r="V380" s="418">
        <v>2986</v>
      </c>
      <c r="W380" s="419">
        <v>2985934</v>
      </c>
      <c r="X380" s="416" t="s">
        <v>666</v>
      </c>
      <c r="Y380" s="416" t="s">
        <v>677</v>
      </c>
      <c r="Z380" s="416" t="s">
        <v>664</v>
      </c>
      <c r="AA380" s="416" t="s">
        <v>665</v>
      </c>
      <c r="AB380" s="416" t="s">
        <v>666</v>
      </c>
      <c r="AC380" s="416" t="s">
        <v>666</v>
      </c>
    </row>
    <row r="381" spans="1:29">
      <c r="A381" s="415">
        <v>6</v>
      </c>
      <c r="B381" s="415" t="s">
        <v>628</v>
      </c>
      <c r="C381" s="415">
        <v>98</v>
      </c>
      <c r="D381" s="415" t="s">
        <v>629</v>
      </c>
      <c r="E381" s="415">
        <v>10</v>
      </c>
      <c r="F381" s="415" t="s">
        <v>619</v>
      </c>
      <c r="G381" s="415">
        <v>84</v>
      </c>
      <c r="H381" s="415" t="s">
        <v>635</v>
      </c>
      <c r="I381" s="415" t="s">
        <v>631</v>
      </c>
      <c r="J381" s="415" t="s">
        <v>632</v>
      </c>
      <c r="K381" s="415">
        <v>10052521</v>
      </c>
      <c r="L381" s="41">
        <f>VLOOKUP(K381,WebPosting!$B$6:$B$561,1,FALSE)</f>
        <v>10052521</v>
      </c>
      <c r="M381" s="46">
        <f>(($V381*1000)*(IFERROR($T381-WebPosting!$K$1,"0")))</f>
        <v>0</v>
      </c>
      <c r="N381" s="43">
        <f t="shared" si="5"/>
        <v>0</v>
      </c>
      <c r="O381" s="416" t="s">
        <v>672</v>
      </c>
      <c r="P381" s="416" t="s">
        <v>1010</v>
      </c>
      <c r="Q381" s="416" t="s">
        <v>1011</v>
      </c>
      <c r="R381" s="417">
        <v>40275</v>
      </c>
      <c r="S381" s="416" t="s">
        <v>696</v>
      </c>
      <c r="T381" s="416" t="s">
        <v>696</v>
      </c>
      <c r="U381" s="416">
        <v>0</v>
      </c>
      <c r="V381" s="418">
        <v>3735</v>
      </c>
      <c r="W381" s="419">
        <v>3735496.6</v>
      </c>
      <c r="X381" s="416" t="s">
        <v>666</v>
      </c>
      <c r="Y381" s="416" t="s">
        <v>677</v>
      </c>
      <c r="Z381" s="416" t="s">
        <v>664</v>
      </c>
      <c r="AA381" s="416" t="s">
        <v>665</v>
      </c>
      <c r="AB381" s="416" t="s">
        <v>666</v>
      </c>
      <c r="AC381" s="416" t="s">
        <v>666</v>
      </c>
    </row>
    <row r="382" spans="1:29">
      <c r="A382" s="415">
        <v>6</v>
      </c>
      <c r="B382" s="415" t="s">
        <v>628</v>
      </c>
      <c r="C382" s="415">
        <v>98</v>
      </c>
      <c r="D382" s="415" t="s">
        <v>629</v>
      </c>
      <c r="E382" s="415">
        <v>10</v>
      </c>
      <c r="F382" s="415" t="s">
        <v>619</v>
      </c>
      <c r="G382" s="415">
        <v>85</v>
      </c>
      <c r="H382" s="415" t="s">
        <v>636</v>
      </c>
      <c r="I382" s="415" t="s">
        <v>631</v>
      </c>
      <c r="J382" s="415" t="s">
        <v>632</v>
      </c>
      <c r="K382" s="415">
        <v>9062601</v>
      </c>
      <c r="L382" s="41">
        <f>VLOOKUP(K382,WebPosting!$B$6:$B$561,1,FALSE)</f>
        <v>9062601</v>
      </c>
      <c r="M382" s="46">
        <f>(($V382*1000)*(IFERROR($T382-WebPosting!$K$1,"0")))</f>
        <v>0</v>
      </c>
      <c r="N382" s="43">
        <f t="shared" si="5"/>
        <v>0</v>
      </c>
      <c r="O382" s="416" t="s">
        <v>672</v>
      </c>
      <c r="P382" s="416" t="s">
        <v>1012</v>
      </c>
      <c r="Q382" s="416" t="s">
        <v>636</v>
      </c>
      <c r="R382" s="417">
        <v>39990</v>
      </c>
      <c r="S382" s="416" t="s">
        <v>696</v>
      </c>
      <c r="T382" s="416" t="s">
        <v>696</v>
      </c>
      <c r="U382" s="416">
        <v>0</v>
      </c>
      <c r="V382" s="418">
        <v>1443</v>
      </c>
      <c r="W382" s="419">
        <v>1443408</v>
      </c>
      <c r="X382" s="416" t="s">
        <v>666</v>
      </c>
      <c r="Y382" s="416" t="s">
        <v>677</v>
      </c>
      <c r="Z382" s="416" t="s">
        <v>664</v>
      </c>
      <c r="AA382" s="416" t="s">
        <v>665</v>
      </c>
      <c r="AB382" s="416" t="s">
        <v>666</v>
      </c>
      <c r="AC382" s="416" t="s">
        <v>666</v>
      </c>
    </row>
    <row r="383" spans="1:29">
      <c r="A383" s="415">
        <v>6</v>
      </c>
      <c r="B383" s="415" t="s">
        <v>628</v>
      </c>
      <c r="C383" s="415">
        <v>98</v>
      </c>
      <c r="D383" s="415" t="s">
        <v>629</v>
      </c>
      <c r="E383" s="415">
        <v>10</v>
      </c>
      <c r="F383" s="415" t="s">
        <v>619</v>
      </c>
      <c r="G383" s="415">
        <v>86</v>
      </c>
      <c r="H383" s="415" t="s">
        <v>637</v>
      </c>
      <c r="I383" s="415" t="s">
        <v>631</v>
      </c>
      <c r="J383" s="415" t="s">
        <v>632</v>
      </c>
      <c r="K383" s="415">
        <v>8070713</v>
      </c>
      <c r="L383" s="41">
        <f>VLOOKUP(K383,WebPosting!$B$6:$B$561,1,FALSE)</f>
        <v>8070713</v>
      </c>
      <c r="M383" s="46">
        <f>(($V383*1000)*(IFERROR($T383-WebPosting!$K$1,"0")))</f>
        <v>0</v>
      </c>
      <c r="N383" s="43">
        <f t="shared" si="5"/>
        <v>0</v>
      </c>
      <c r="O383" s="416" t="s">
        <v>672</v>
      </c>
      <c r="P383" s="416" t="s">
        <v>1013</v>
      </c>
      <c r="Q383" s="416" t="s">
        <v>1014</v>
      </c>
      <c r="R383" s="417">
        <v>39636</v>
      </c>
      <c r="S383" s="416" t="s">
        <v>696</v>
      </c>
      <c r="T383" s="416" t="s">
        <v>696</v>
      </c>
      <c r="U383" s="416">
        <v>0</v>
      </c>
      <c r="V383" s="418">
        <v>4165</v>
      </c>
      <c r="W383" s="419">
        <v>4165075.11</v>
      </c>
      <c r="X383" s="416" t="s">
        <v>666</v>
      </c>
      <c r="Y383" s="416" t="s">
        <v>677</v>
      </c>
      <c r="Z383" s="416" t="s">
        <v>664</v>
      </c>
      <c r="AA383" s="416" t="s">
        <v>665</v>
      </c>
      <c r="AB383" s="416" t="s">
        <v>666</v>
      </c>
      <c r="AC383" s="416" t="s">
        <v>666</v>
      </c>
    </row>
    <row r="384" spans="1:29">
      <c r="A384" s="415">
        <v>6</v>
      </c>
      <c r="B384" s="415" t="s">
        <v>628</v>
      </c>
      <c r="C384" s="415">
        <v>98</v>
      </c>
      <c r="D384" s="415" t="s">
        <v>629</v>
      </c>
      <c r="E384" s="415">
        <v>10</v>
      </c>
      <c r="F384" s="415" t="s">
        <v>619</v>
      </c>
      <c r="G384" s="415">
        <v>87</v>
      </c>
      <c r="H384" s="415" t="s">
        <v>638</v>
      </c>
      <c r="I384" s="415" t="s">
        <v>631</v>
      </c>
      <c r="J384" s="415" t="s">
        <v>632</v>
      </c>
      <c r="K384" s="415">
        <v>8030307</v>
      </c>
      <c r="L384" s="41">
        <f>VLOOKUP(K384,WebPosting!$B$6:$B$561,1,FALSE)</f>
        <v>8030307</v>
      </c>
      <c r="M384" s="46">
        <f>(($V384*1000)*(IFERROR($T384-WebPosting!$K$1,"0")))</f>
        <v>0</v>
      </c>
      <c r="N384" s="43">
        <f t="shared" si="5"/>
        <v>0</v>
      </c>
      <c r="O384" s="416" t="s">
        <v>672</v>
      </c>
      <c r="P384" s="416" t="s">
        <v>1015</v>
      </c>
      <c r="Q384" s="416" t="s">
        <v>638</v>
      </c>
      <c r="R384" s="417">
        <v>39510</v>
      </c>
      <c r="S384" s="416" t="s">
        <v>696</v>
      </c>
      <c r="T384" s="416" t="s">
        <v>696</v>
      </c>
      <c r="U384" s="416">
        <v>0</v>
      </c>
      <c r="V384" s="416">
        <v>532</v>
      </c>
      <c r="W384" s="419">
        <v>531618.13</v>
      </c>
      <c r="X384" s="416" t="s">
        <v>666</v>
      </c>
      <c r="Y384" s="416" t="s">
        <v>677</v>
      </c>
      <c r="Z384" s="416" t="s">
        <v>664</v>
      </c>
      <c r="AA384" s="416" t="s">
        <v>665</v>
      </c>
      <c r="AB384" s="416" t="s">
        <v>666</v>
      </c>
      <c r="AC384" s="416" t="s">
        <v>666</v>
      </c>
    </row>
    <row r="385" spans="1:29">
      <c r="A385" s="415">
        <v>6</v>
      </c>
      <c r="B385" s="415" t="s">
        <v>628</v>
      </c>
      <c r="C385" s="415">
        <v>98</v>
      </c>
      <c r="D385" s="415" t="s">
        <v>629</v>
      </c>
      <c r="E385" s="415">
        <v>10</v>
      </c>
      <c r="F385" s="415" t="s">
        <v>619</v>
      </c>
      <c r="G385" s="415">
        <v>88</v>
      </c>
      <c r="H385" s="415" t="s">
        <v>639</v>
      </c>
      <c r="I385" s="415" t="s">
        <v>631</v>
      </c>
      <c r="J385" s="415" t="s">
        <v>632</v>
      </c>
      <c r="K385" s="415">
        <v>8021314</v>
      </c>
      <c r="L385" s="41">
        <f>VLOOKUP(K385,WebPosting!$B$6:$B$561,1,FALSE)</f>
        <v>8021314</v>
      </c>
      <c r="M385" s="46">
        <f>(($V385*1000)*(IFERROR($T385-WebPosting!$K$1,"0")))</f>
        <v>0</v>
      </c>
      <c r="N385" s="43">
        <f t="shared" si="5"/>
        <v>0</v>
      </c>
      <c r="O385" s="416" t="s">
        <v>672</v>
      </c>
      <c r="P385" s="416" t="s">
        <v>1016</v>
      </c>
      <c r="Q385" s="416" t="s">
        <v>1017</v>
      </c>
      <c r="R385" s="417">
        <v>39491</v>
      </c>
      <c r="S385" s="416" t="s">
        <v>696</v>
      </c>
      <c r="T385" s="416" t="s">
        <v>696</v>
      </c>
      <c r="U385" s="416">
        <v>0</v>
      </c>
      <c r="V385" s="418">
        <v>1786</v>
      </c>
      <c r="W385" s="419">
        <v>1786499.41</v>
      </c>
      <c r="X385" s="416" t="s">
        <v>666</v>
      </c>
      <c r="Y385" s="416" t="s">
        <v>677</v>
      </c>
      <c r="Z385" s="416" t="s">
        <v>664</v>
      </c>
      <c r="AA385" s="416" t="s">
        <v>665</v>
      </c>
      <c r="AB385" s="416" t="s">
        <v>666</v>
      </c>
      <c r="AC385" s="416" t="s">
        <v>666</v>
      </c>
    </row>
    <row r="386" spans="1:29">
      <c r="A386" s="415">
        <v>6</v>
      </c>
      <c r="B386" s="415" t="s">
        <v>628</v>
      </c>
      <c r="C386" s="415">
        <v>98</v>
      </c>
      <c r="D386" s="415" t="s">
        <v>629</v>
      </c>
      <c r="E386" s="415">
        <v>10</v>
      </c>
      <c r="F386" s="415" t="s">
        <v>619</v>
      </c>
      <c r="G386" s="415">
        <v>89</v>
      </c>
      <c r="H386" s="415" t="s">
        <v>640</v>
      </c>
      <c r="I386" s="415" t="s">
        <v>631</v>
      </c>
      <c r="J386" s="415" t="s">
        <v>632</v>
      </c>
      <c r="K386" s="415">
        <v>8013009</v>
      </c>
      <c r="L386" s="41">
        <f>VLOOKUP(K386,WebPosting!$B$6:$B$561,1,FALSE)</f>
        <v>8013009</v>
      </c>
      <c r="M386" s="46">
        <f>(($V386*1000)*(IFERROR($T386-WebPosting!$K$1,"0")))</f>
        <v>0</v>
      </c>
      <c r="N386" s="43">
        <f t="shared" si="5"/>
        <v>0</v>
      </c>
      <c r="O386" s="416" t="s">
        <v>672</v>
      </c>
      <c r="P386" s="416" t="s">
        <v>1018</v>
      </c>
      <c r="Q386" s="416" t="s">
        <v>1019</v>
      </c>
      <c r="R386" s="417">
        <v>39469</v>
      </c>
      <c r="S386" s="416" t="s">
        <v>696</v>
      </c>
      <c r="T386" s="416" t="s">
        <v>696</v>
      </c>
      <c r="U386" s="416">
        <v>0</v>
      </c>
      <c r="V386" s="418">
        <v>1509</v>
      </c>
      <c r="W386" s="419">
        <v>1508593.89</v>
      </c>
      <c r="X386" s="416" t="s">
        <v>666</v>
      </c>
      <c r="Y386" s="416" t="s">
        <v>677</v>
      </c>
      <c r="Z386" s="416" t="s">
        <v>664</v>
      </c>
      <c r="AA386" s="416" t="s">
        <v>665</v>
      </c>
      <c r="AB386" s="416" t="s">
        <v>666</v>
      </c>
      <c r="AC386" s="416" t="s">
        <v>666</v>
      </c>
    </row>
    <row r="387" spans="1:29">
      <c r="A387" s="415">
        <v>6</v>
      </c>
      <c r="B387" s="415" t="s">
        <v>628</v>
      </c>
      <c r="C387" s="415">
        <v>98</v>
      </c>
      <c r="D387" s="415" t="s">
        <v>629</v>
      </c>
      <c r="E387" s="415">
        <v>10</v>
      </c>
      <c r="F387" s="415" t="s">
        <v>619</v>
      </c>
      <c r="G387" s="415">
        <v>90</v>
      </c>
      <c r="H387" s="415" t="s">
        <v>641</v>
      </c>
      <c r="I387" s="415" t="s">
        <v>631</v>
      </c>
      <c r="J387" s="415" t="s">
        <v>632</v>
      </c>
      <c r="K387" s="415">
        <v>8010408</v>
      </c>
      <c r="L387" s="41">
        <f>VLOOKUP(K387,WebPosting!$B$6:$B$561,1,FALSE)</f>
        <v>8010408</v>
      </c>
      <c r="M387" s="46">
        <f>(($V387*1000)*(IFERROR($T387-WebPosting!$K$1,"0")))</f>
        <v>0</v>
      </c>
      <c r="N387" s="43">
        <f t="shared" ref="N387:N403" si="6">($U387%*($V387*1000))</f>
        <v>0</v>
      </c>
      <c r="O387" s="416" t="s">
        <v>672</v>
      </c>
      <c r="P387" s="416" t="s">
        <v>1020</v>
      </c>
      <c r="Q387" s="416" t="s">
        <v>1021</v>
      </c>
      <c r="R387" s="417">
        <v>39450</v>
      </c>
      <c r="S387" s="416" t="s">
        <v>696</v>
      </c>
      <c r="T387" s="416" t="s">
        <v>696</v>
      </c>
      <c r="U387" s="416">
        <v>0</v>
      </c>
      <c r="V387" s="418">
        <v>2842</v>
      </c>
      <c r="W387" s="419">
        <v>2841992.48</v>
      </c>
      <c r="X387" s="416" t="s">
        <v>666</v>
      </c>
      <c r="Y387" s="416" t="s">
        <v>677</v>
      </c>
      <c r="Z387" s="416" t="s">
        <v>664</v>
      </c>
      <c r="AA387" s="416" t="s">
        <v>665</v>
      </c>
      <c r="AB387" s="416" t="s">
        <v>666</v>
      </c>
      <c r="AC387" s="416" t="s">
        <v>666</v>
      </c>
    </row>
    <row r="388" spans="1:29">
      <c r="A388" s="415">
        <v>6</v>
      </c>
      <c r="B388" s="415" t="s">
        <v>628</v>
      </c>
      <c r="C388" s="415">
        <v>98</v>
      </c>
      <c r="D388" s="415" t="s">
        <v>629</v>
      </c>
      <c r="E388" s="415">
        <v>10</v>
      </c>
      <c r="F388" s="415" t="s">
        <v>619</v>
      </c>
      <c r="G388" s="415">
        <v>91</v>
      </c>
      <c r="H388" s="415" t="s">
        <v>642</v>
      </c>
      <c r="I388" s="415" t="s">
        <v>631</v>
      </c>
      <c r="J388" s="415" t="s">
        <v>632</v>
      </c>
      <c r="K388" s="415">
        <v>7042715</v>
      </c>
      <c r="L388" s="41">
        <f>VLOOKUP(K388,WebPosting!$B$6:$B$561,1,FALSE)</f>
        <v>7042715</v>
      </c>
      <c r="M388" s="46">
        <f>(($V388*1000)*(IFERROR($T388-WebPosting!$K$1,"0")))</f>
        <v>0</v>
      </c>
      <c r="N388" s="43">
        <f t="shared" si="6"/>
        <v>0</v>
      </c>
      <c r="O388" s="416" t="s">
        <v>672</v>
      </c>
      <c r="P388" s="416" t="s">
        <v>1022</v>
      </c>
      <c r="Q388" s="416" t="s">
        <v>1023</v>
      </c>
      <c r="R388" s="417">
        <v>39198</v>
      </c>
      <c r="S388" s="416" t="s">
        <v>696</v>
      </c>
      <c r="T388" s="416" t="s">
        <v>696</v>
      </c>
      <c r="U388" s="416">
        <v>0</v>
      </c>
      <c r="V388" s="418">
        <v>2677</v>
      </c>
      <c r="W388" s="419">
        <v>2677458.9900000002</v>
      </c>
      <c r="X388" s="416" t="s">
        <v>666</v>
      </c>
      <c r="Y388" s="416" t="s">
        <v>677</v>
      </c>
      <c r="Z388" s="416" t="s">
        <v>664</v>
      </c>
      <c r="AA388" s="416" t="s">
        <v>665</v>
      </c>
      <c r="AB388" s="416" t="s">
        <v>666</v>
      </c>
      <c r="AC388" s="416" t="s">
        <v>666</v>
      </c>
    </row>
    <row r="389" spans="1:29">
      <c r="A389" s="415">
        <v>6</v>
      </c>
      <c r="B389" s="415" t="s">
        <v>628</v>
      </c>
      <c r="C389" s="415">
        <v>98</v>
      </c>
      <c r="D389" s="415" t="s">
        <v>629</v>
      </c>
      <c r="E389" s="415">
        <v>10</v>
      </c>
      <c r="F389" s="415" t="s">
        <v>619</v>
      </c>
      <c r="G389" s="415">
        <v>92</v>
      </c>
      <c r="H389" s="415" t="s">
        <v>643</v>
      </c>
      <c r="I389" s="415" t="s">
        <v>631</v>
      </c>
      <c r="J389" s="415" t="s">
        <v>632</v>
      </c>
      <c r="K389" s="415">
        <v>7042507</v>
      </c>
      <c r="L389" s="41">
        <f>VLOOKUP(K389,WebPosting!$B$6:$B$561,1,FALSE)</f>
        <v>7042507</v>
      </c>
      <c r="M389" s="46">
        <f>(($V389*1000)*(IFERROR($T389-WebPosting!$K$1,"0")))</f>
        <v>0</v>
      </c>
      <c r="N389" s="43">
        <f t="shared" si="6"/>
        <v>0</v>
      </c>
      <c r="O389" s="416" t="s">
        <v>672</v>
      </c>
      <c r="P389" s="416" t="s">
        <v>1024</v>
      </c>
      <c r="Q389" s="416" t="s">
        <v>1025</v>
      </c>
      <c r="R389" s="417">
        <v>39188</v>
      </c>
      <c r="S389" s="416" t="s">
        <v>696</v>
      </c>
      <c r="T389" s="416" t="s">
        <v>696</v>
      </c>
      <c r="U389" s="416">
        <v>0</v>
      </c>
      <c r="V389" s="418">
        <v>3082</v>
      </c>
      <c r="W389" s="419">
        <v>3082213.03</v>
      </c>
      <c r="X389" s="416" t="s">
        <v>666</v>
      </c>
      <c r="Y389" s="416" t="s">
        <v>677</v>
      </c>
      <c r="Z389" s="416" t="s">
        <v>664</v>
      </c>
      <c r="AA389" s="416" t="s">
        <v>665</v>
      </c>
      <c r="AB389" s="416" t="s">
        <v>666</v>
      </c>
      <c r="AC389" s="416" t="s">
        <v>666</v>
      </c>
    </row>
    <row r="390" spans="1:29">
      <c r="A390" s="415">
        <v>6</v>
      </c>
      <c r="B390" s="415" t="s">
        <v>628</v>
      </c>
      <c r="C390" s="415">
        <v>98</v>
      </c>
      <c r="D390" s="415" t="s">
        <v>629</v>
      </c>
      <c r="E390" s="415">
        <v>10</v>
      </c>
      <c r="F390" s="415" t="s">
        <v>619</v>
      </c>
      <c r="G390" s="415">
        <v>93</v>
      </c>
      <c r="H390" s="415" t="s">
        <v>644</v>
      </c>
      <c r="I390" s="415" t="s">
        <v>631</v>
      </c>
      <c r="J390" s="415" t="s">
        <v>632</v>
      </c>
      <c r="K390" s="415">
        <v>7012519</v>
      </c>
      <c r="L390" s="41">
        <f>VLOOKUP(K390,WebPosting!$B$6:$B$561,1,FALSE)</f>
        <v>7012519</v>
      </c>
      <c r="M390" s="46">
        <f>(($V390*1000)*(IFERROR($T390-WebPosting!$K$1,"0")))</f>
        <v>0</v>
      </c>
      <c r="N390" s="43">
        <f t="shared" si="6"/>
        <v>0</v>
      </c>
      <c r="O390" s="416" t="s">
        <v>672</v>
      </c>
      <c r="P390" s="416" t="s">
        <v>1026</v>
      </c>
      <c r="Q390" s="416" t="s">
        <v>1027</v>
      </c>
      <c r="R390" s="417">
        <v>39090</v>
      </c>
      <c r="S390" s="416" t="s">
        <v>696</v>
      </c>
      <c r="T390" s="416" t="s">
        <v>696</v>
      </c>
      <c r="U390" s="416">
        <v>0</v>
      </c>
      <c r="V390" s="416">
        <v>281</v>
      </c>
      <c r="W390" s="419">
        <v>280790</v>
      </c>
      <c r="X390" s="416" t="s">
        <v>666</v>
      </c>
      <c r="Y390" s="416" t="s">
        <v>677</v>
      </c>
      <c r="Z390" s="416" t="s">
        <v>664</v>
      </c>
      <c r="AA390" s="416" t="s">
        <v>665</v>
      </c>
      <c r="AB390" s="416" t="s">
        <v>666</v>
      </c>
      <c r="AC390" s="416" t="s">
        <v>666</v>
      </c>
    </row>
    <row r="391" spans="1:29">
      <c r="A391" s="415">
        <v>6</v>
      </c>
      <c r="B391" s="415" t="s">
        <v>628</v>
      </c>
      <c r="C391" s="415">
        <v>98</v>
      </c>
      <c r="D391" s="415" t="s">
        <v>629</v>
      </c>
      <c r="E391" s="415">
        <v>10</v>
      </c>
      <c r="F391" s="415" t="s">
        <v>619</v>
      </c>
      <c r="G391" s="415">
        <v>94</v>
      </c>
      <c r="H391" s="415" t="s">
        <v>645</v>
      </c>
      <c r="I391" s="415" t="s">
        <v>631</v>
      </c>
      <c r="J391" s="415" t="s">
        <v>632</v>
      </c>
      <c r="K391" s="415">
        <v>6060718</v>
      </c>
      <c r="L391" s="41">
        <f>VLOOKUP(K391,WebPosting!$B$6:$B$561,1,FALSE)</f>
        <v>6060718</v>
      </c>
      <c r="M391" s="46">
        <f>(($V391*1000)*(IFERROR($T391-WebPosting!$K$1,"0")))</f>
        <v>0</v>
      </c>
      <c r="N391" s="43">
        <f t="shared" si="6"/>
        <v>0</v>
      </c>
      <c r="O391" s="416" t="s">
        <v>672</v>
      </c>
      <c r="P391" s="416" t="s">
        <v>1028</v>
      </c>
      <c r="Q391" s="416" t="s">
        <v>645</v>
      </c>
      <c r="R391" s="417">
        <v>38875</v>
      </c>
      <c r="S391" s="416" t="s">
        <v>696</v>
      </c>
      <c r="T391" s="416" t="s">
        <v>696</v>
      </c>
      <c r="U391" s="416">
        <v>0</v>
      </c>
      <c r="V391" s="418">
        <v>2946</v>
      </c>
      <c r="W391" s="419">
        <v>2945578.34</v>
      </c>
      <c r="X391" s="416" t="s">
        <v>666</v>
      </c>
      <c r="Y391" s="416" t="s">
        <v>677</v>
      </c>
      <c r="Z391" s="416" t="s">
        <v>664</v>
      </c>
      <c r="AA391" s="416" t="s">
        <v>665</v>
      </c>
      <c r="AB391" s="416" t="s">
        <v>666</v>
      </c>
      <c r="AC391" s="416" t="s">
        <v>666</v>
      </c>
    </row>
    <row r="392" spans="1:29">
      <c r="A392" s="415">
        <v>6</v>
      </c>
      <c r="B392" s="415" t="s">
        <v>628</v>
      </c>
      <c r="C392" s="415">
        <v>98</v>
      </c>
      <c r="D392" s="415" t="s">
        <v>629</v>
      </c>
      <c r="E392" s="415">
        <v>10</v>
      </c>
      <c r="F392" s="415" t="s">
        <v>619</v>
      </c>
      <c r="G392" s="415">
        <v>95</v>
      </c>
      <c r="H392" s="415" t="s">
        <v>646</v>
      </c>
      <c r="I392" s="415" t="s">
        <v>631</v>
      </c>
      <c r="J392" s="415" t="s">
        <v>632</v>
      </c>
      <c r="K392" s="415">
        <v>5120205</v>
      </c>
      <c r="L392" s="41">
        <f>VLOOKUP(K392,WebPosting!$B$6:$B$561,1,FALSE)</f>
        <v>5120205</v>
      </c>
      <c r="M392" s="46">
        <f>(($V392*1000)*(IFERROR($T392-WebPosting!$K$1,"0")))</f>
        <v>0</v>
      </c>
      <c r="N392" s="43">
        <f t="shared" si="6"/>
        <v>0</v>
      </c>
      <c r="O392" s="416" t="s">
        <v>672</v>
      </c>
      <c r="P392" s="416" t="s">
        <v>1029</v>
      </c>
      <c r="Q392" s="416" t="s">
        <v>646</v>
      </c>
      <c r="R392" s="417">
        <v>38688</v>
      </c>
      <c r="S392" s="416" t="s">
        <v>696</v>
      </c>
      <c r="T392" s="416" t="s">
        <v>696</v>
      </c>
      <c r="U392" s="416">
        <v>0</v>
      </c>
      <c r="V392" s="418">
        <v>2558</v>
      </c>
      <c r="W392" s="419">
        <v>2557699</v>
      </c>
      <c r="X392" s="416" t="s">
        <v>666</v>
      </c>
      <c r="Y392" s="416" t="s">
        <v>677</v>
      </c>
      <c r="Z392" s="416" t="s">
        <v>664</v>
      </c>
      <c r="AA392" s="416" t="s">
        <v>665</v>
      </c>
      <c r="AB392" s="416" t="s">
        <v>666</v>
      </c>
      <c r="AC392" s="416" t="s">
        <v>666</v>
      </c>
    </row>
    <row r="393" spans="1:29">
      <c r="A393" s="415">
        <v>6</v>
      </c>
      <c r="B393" s="415" t="s">
        <v>628</v>
      </c>
      <c r="C393" s="415">
        <v>98</v>
      </c>
      <c r="D393" s="415" t="s">
        <v>629</v>
      </c>
      <c r="E393" s="415">
        <v>10</v>
      </c>
      <c r="F393" s="415" t="s">
        <v>619</v>
      </c>
      <c r="G393" s="415">
        <v>96</v>
      </c>
      <c r="H393" s="415" t="s">
        <v>647</v>
      </c>
      <c r="I393" s="415" t="s">
        <v>631</v>
      </c>
      <c r="J393" s="415" t="s">
        <v>632</v>
      </c>
      <c r="K393" s="415">
        <v>5111513</v>
      </c>
      <c r="L393" s="41" t="e">
        <f>VLOOKUP(K393,WebPosting!$B$6:$B$561,1,FALSE)</f>
        <v>#N/A</v>
      </c>
      <c r="M393" s="46">
        <f>(($V393*1000)*(IFERROR($T393-WebPosting!$K$1,"0")))</f>
        <v>0</v>
      </c>
      <c r="N393" s="43">
        <f t="shared" si="6"/>
        <v>0</v>
      </c>
      <c r="O393" s="416" t="s">
        <v>672</v>
      </c>
      <c r="P393" s="416" t="s">
        <v>1030</v>
      </c>
      <c r="Q393" s="416" t="s">
        <v>647</v>
      </c>
      <c r="R393" s="417">
        <v>38671</v>
      </c>
      <c r="S393" s="416" t="s">
        <v>696</v>
      </c>
      <c r="T393" s="416" t="s">
        <v>696</v>
      </c>
      <c r="U393" s="416">
        <v>0</v>
      </c>
      <c r="V393" s="416"/>
      <c r="W393" s="416">
        <v>0</v>
      </c>
      <c r="X393" s="416" t="s">
        <v>666</v>
      </c>
      <c r="Y393" s="416" t="s">
        <v>677</v>
      </c>
      <c r="Z393" s="416" t="s">
        <v>664</v>
      </c>
      <c r="AA393" s="416" t="s">
        <v>665</v>
      </c>
      <c r="AB393" s="416" t="s">
        <v>666</v>
      </c>
      <c r="AC393" s="416" t="s">
        <v>666</v>
      </c>
    </row>
    <row r="394" spans="1:29">
      <c r="A394" s="415">
        <v>6</v>
      </c>
      <c r="B394" s="415" t="s">
        <v>628</v>
      </c>
      <c r="C394" s="415">
        <v>98</v>
      </c>
      <c r="D394" s="415" t="s">
        <v>629</v>
      </c>
      <c r="E394" s="415">
        <v>10</v>
      </c>
      <c r="F394" s="415" t="s">
        <v>619</v>
      </c>
      <c r="G394" s="415">
        <v>97</v>
      </c>
      <c r="H394" s="415" t="s">
        <v>648</v>
      </c>
      <c r="I394" s="415" t="s">
        <v>631</v>
      </c>
      <c r="J394" s="415" t="s">
        <v>632</v>
      </c>
      <c r="K394" s="415">
        <v>5062922</v>
      </c>
      <c r="L394" s="41">
        <f>VLOOKUP(K394,WebPosting!$B$6:$B$561,1,FALSE)</f>
        <v>5062922</v>
      </c>
      <c r="M394" s="46">
        <f>(($V394*1000)*(IFERROR($T394-WebPosting!$K$1,"0")))</f>
        <v>0</v>
      </c>
      <c r="N394" s="43">
        <f t="shared" si="6"/>
        <v>0</v>
      </c>
      <c r="O394" s="416" t="s">
        <v>672</v>
      </c>
      <c r="P394" s="416" t="s">
        <v>1031</v>
      </c>
      <c r="Q394" s="416" t="s">
        <v>1032</v>
      </c>
      <c r="R394" s="417">
        <v>38532</v>
      </c>
      <c r="S394" s="416" t="s">
        <v>696</v>
      </c>
      <c r="T394" s="416" t="s">
        <v>696</v>
      </c>
      <c r="U394" s="416">
        <v>0</v>
      </c>
      <c r="V394" s="416">
        <v>830</v>
      </c>
      <c r="W394" s="419">
        <v>829904.94</v>
      </c>
      <c r="X394" s="416" t="s">
        <v>666</v>
      </c>
      <c r="Y394" s="416" t="s">
        <v>677</v>
      </c>
      <c r="Z394" s="416" t="s">
        <v>664</v>
      </c>
      <c r="AA394" s="416" t="s">
        <v>665</v>
      </c>
      <c r="AB394" s="416" t="s">
        <v>666</v>
      </c>
      <c r="AC394" s="416" t="s">
        <v>666</v>
      </c>
    </row>
    <row r="395" spans="1:29">
      <c r="A395" s="415">
        <v>6</v>
      </c>
      <c r="B395" s="415" t="s">
        <v>628</v>
      </c>
      <c r="C395" s="415">
        <v>98</v>
      </c>
      <c r="D395" s="415" t="s">
        <v>629</v>
      </c>
      <c r="E395" s="415">
        <v>10</v>
      </c>
      <c r="F395" s="415" t="s">
        <v>619</v>
      </c>
      <c r="G395" s="415">
        <v>98</v>
      </c>
      <c r="H395" s="415" t="s">
        <v>649</v>
      </c>
      <c r="I395" s="415" t="s">
        <v>631</v>
      </c>
      <c r="J395" s="415" t="s">
        <v>632</v>
      </c>
      <c r="K395" s="415">
        <v>5062921</v>
      </c>
      <c r="L395" s="41">
        <f>VLOOKUP(K395,WebPosting!$B$6:$B$561,1,FALSE)</f>
        <v>5062921</v>
      </c>
      <c r="M395" s="46">
        <f>(($V395*1000)*(IFERROR($T395-WebPosting!$K$1,"0")))</f>
        <v>0</v>
      </c>
      <c r="N395" s="43">
        <f t="shared" si="6"/>
        <v>0</v>
      </c>
      <c r="O395" s="416" t="s">
        <v>672</v>
      </c>
      <c r="P395" s="416" t="s">
        <v>1033</v>
      </c>
      <c r="Q395" s="416" t="s">
        <v>649</v>
      </c>
      <c r="R395" s="417">
        <v>38532</v>
      </c>
      <c r="S395" s="416" t="s">
        <v>696</v>
      </c>
      <c r="T395" s="416" t="s">
        <v>696</v>
      </c>
      <c r="U395" s="416">
        <v>0</v>
      </c>
      <c r="V395" s="418">
        <v>1015</v>
      </c>
      <c r="W395" s="419">
        <v>1015385</v>
      </c>
      <c r="X395" s="416" t="s">
        <v>666</v>
      </c>
      <c r="Y395" s="416" t="s">
        <v>677</v>
      </c>
      <c r="Z395" s="416" t="s">
        <v>664</v>
      </c>
      <c r="AA395" s="416" t="s">
        <v>665</v>
      </c>
      <c r="AB395" s="416" t="s">
        <v>666</v>
      </c>
      <c r="AC395" s="416" t="s">
        <v>666</v>
      </c>
    </row>
    <row r="396" spans="1:29">
      <c r="A396" s="415">
        <v>6</v>
      </c>
      <c r="B396" s="415" t="s">
        <v>628</v>
      </c>
      <c r="C396" s="415">
        <v>98</v>
      </c>
      <c r="D396" s="415" t="s">
        <v>629</v>
      </c>
      <c r="E396" s="415">
        <v>10</v>
      </c>
      <c r="F396" s="415" t="s">
        <v>619</v>
      </c>
      <c r="G396" s="415">
        <v>99</v>
      </c>
      <c r="H396" s="415" t="s">
        <v>650</v>
      </c>
      <c r="I396" s="415" t="s">
        <v>631</v>
      </c>
      <c r="J396" s="415" t="s">
        <v>632</v>
      </c>
      <c r="K396" s="415">
        <v>5062920</v>
      </c>
      <c r="L396" s="41">
        <f>VLOOKUP(K396,WebPosting!$B$6:$B$561,1,FALSE)</f>
        <v>5062920</v>
      </c>
      <c r="M396" s="46">
        <f>(($V396*1000)*(IFERROR($T396-WebPosting!$K$1,"0")))</f>
        <v>0</v>
      </c>
      <c r="N396" s="43">
        <f t="shared" si="6"/>
        <v>0</v>
      </c>
      <c r="O396" s="416" t="s">
        <v>672</v>
      </c>
      <c r="P396" s="416" t="s">
        <v>1034</v>
      </c>
      <c r="Q396" s="416" t="s">
        <v>1035</v>
      </c>
      <c r="R396" s="417">
        <v>38532</v>
      </c>
      <c r="S396" s="416" t="s">
        <v>696</v>
      </c>
      <c r="T396" s="416" t="s">
        <v>696</v>
      </c>
      <c r="U396" s="416">
        <v>0</v>
      </c>
      <c r="V396" s="416">
        <v>868</v>
      </c>
      <c r="W396" s="419">
        <v>867716.82</v>
      </c>
      <c r="X396" s="416" t="s">
        <v>666</v>
      </c>
      <c r="Y396" s="416" t="s">
        <v>677</v>
      </c>
      <c r="Z396" s="416" t="s">
        <v>664</v>
      </c>
      <c r="AA396" s="416" t="s">
        <v>665</v>
      </c>
      <c r="AB396" s="416" t="s">
        <v>666</v>
      </c>
      <c r="AC396" s="416" t="s">
        <v>666</v>
      </c>
    </row>
    <row r="397" spans="1:29">
      <c r="A397" s="415">
        <v>6</v>
      </c>
      <c r="B397" s="415" t="s">
        <v>628</v>
      </c>
      <c r="C397" s="415">
        <v>99</v>
      </c>
      <c r="D397" s="415" t="s">
        <v>651</v>
      </c>
      <c r="E397" s="415">
        <v>10</v>
      </c>
      <c r="F397" s="415" t="s">
        <v>619</v>
      </c>
      <c r="G397" s="415">
        <v>80</v>
      </c>
      <c r="H397" s="415" t="s">
        <v>652</v>
      </c>
      <c r="I397" s="415" t="s">
        <v>653</v>
      </c>
      <c r="J397" s="415" t="s">
        <v>654</v>
      </c>
      <c r="K397" s="415">
        <v>16120216</v>
      </c>
      <c r="L397" s="41">
        <f>VLOOKUP(K397,WebPosting!$B$6:$B$561,1,FALSE)</f>
        <v>16120216</v>
      </c>
      <c r="M397" s="46">
        <f>(($V397*1000)*(IFERROR($T397-WebPosting!$K$1,"0")))</f>
        <v>0</v>
      </c>
      <c r="N397" s="43">
        <f t="shared" si="6"/>
        <v>0</v>
      </c>
      <c r="O397" s="416" t="s">
        <v>672</v>
      </c>
      <c r="P397" s="416" t="s">
        <v>1036</v>
      </c>
      <c r="Q397" s="416" t="s">
        <v>1037</v>
      </c>
      <c r="R397" s="417">
        <v>42510</v>
      </c>
      <c r="S397" s="416" t="s">
        <v>696</v>
      </c>
      <c r="T397" s="416" t="s">
        <v>696</v>
      </c>
      <c r="U397" s="416">
        <v>0</v>
      </c>
      <c r="V397" s="418">
        <v>3376</v>
      </c>
      <c r="W397" s="419">
        <v>3375807.61</v>
      </c>
      <c r="X397" s="416" t="s">
        <v>666</v>
      </c>
      <c r="Y397" s="416" t="s">
        <v>677</v>
      </c>
      <c r="Z397" s="416" t="s">
        <v>664</v>
      </c>
      <c r="AA397" s="416" t="s">
        <v>665</v>
      </c>
      <c r="AB397" s="416" t="s">
        <v>666</v>
      </c>
      <c r="AC397" s="416" t="s">
        <v>666</v>
      </c>
    </row>
    <row r="398" spans="1:29">
      <c r="A398" s="415">
        <v>6</v>
      </c>
      <c r="B398" s="415" t="s">
        <v>628</v>
      </c>
      <c r="C398" s="415">
        <v>99</v>
      </c>
      <c r="D398" s="415" t="s">
        <v>651</v>
      </c>
      <c r="E398" s="415">
        <v>10</v>
      </c>
      <c r="F398" s="415" t="s">
        <v>619</v>
      </c>
      <c r="G398" s="415">
        <v>81</v>
      </c>
      <c r="H398" s="415" t="s">
        <v>655</v>
      </c>
      <c r="I398" s="415" t="s">
        <v>653</v>
      </c>
      <c r="J398" s="415" t="s">
        <v>654</v>
      </c>
      <c r="K398" s="415">
        <v>17010520</v>
      </c>
      <c r="L398" s="41">
        <f>VLOOKUP(K398,WebPosting!$B$6:$B$561,1,FALSE)</f>
        <v>17010520</v>
      </c>
      <c r="M398" s="46">
        <f>(($V398*1000)*(IFERROR($T398-WebPosting!$K$1,"0")))</f>
        <v>0</v>
      </c>
      <c r="N398" s="43">
        <f t="shared" si="6"/>
        <v>0</v>
      </c>
      <c r="O398" s="416" t="s">
        <v>672</v>
      </c>
      <c r="P398" s="416" t="s">
        <v>1038</v>
      </c>
      <c r="Q398" s="416" t="s">
        <v>1039</v>
      </c>
      <c r="R398" s="417">
        <v>42601</v>
      </c>
      <c r="S398" s="416" t="s">
        <v>696</v>
      </c>
      <c r="T398" s="416" t="s">
        <v>696</v>
      </c>
      <c r="U398" s="416">
        <v>0</v>
      </c>
      <c r="V398" s="418">
        <v>1065</v>
      </c>
      <c r="W398" s="419">
        <v>1064613</v>
      </c>
      <c r="X398" s="416" t="s">
        <v>666</v>
      </c>
      <c r="Y398" s="416" t="s">
        <v>677</v>
      </c>
      <c r="Z398" s="416" t="s">
        <v>664</v>
      </c>
      <c r="AA398" s="416" t="s">
        <v>665</v>
      </c>
      <c r="AB398" s="416" t="s">
        <v>666</v>
      </c>
      <c r="AC398" s="416" t="s">
        <v>666</v>
      </c>
    </row>
    <row r="399" spans="1:29">
      <c r="A399" s="415">
        <v>6</v>
      </c>
      <c r="B399" s="415" t="s">
        <v>628</v>
      </c>
      <c r="C399" s="415">
        <v>99</v>
      </c>
      <c r="D399" s="415" t="s">
        <v>651</v>
      </c>
      <c r="E399" s="415">
        <v>10</v>
      </c>
      <c r="F399" s="415" t="s">
        <v>619</v>
      </c>
      <c r="G399" s="415">
        <v>82</v>
      </c>
      <c r="H399" s="415" t="s">
        <v>656</v>
      </c>
      <c r="I399" s="415" t="s">
        <v>653</v>
      </c>
      <c r="J399" s="415" t="s">
        <v>654</v>
      </c>
      <c r="K399" s="415">
        <v>17010417</v>
      </c>
      <c r="L399" s="41">
        <f>VLOOKUP(K399,WebPosting!$B$6:$B$561,1,FALSE)</f>
        <v>17010417</v>
      </c>
      <c r="M399" s="46">
        <f>(($V399*1000)*(IFERROR($T399-WebPosting!$K$1,"0")))</f>
        <v>0</v>
      </c>
      <c r="N399" s="43">
        <f t="shared" si="6"/>
        <v>0</v>
      </c>
      <c r="O399" s="416" t="s">
        <v>672</v>
      </c>
      <c r="P399" s="416" t="s">
        <v>1040</v>
      </c>
      <c r="Q399" s="416" t="s">
        <v>1041</v>
      </c>
      <c r="R399" s="417">
        <v>42619</v>
      </c>
      <c r="S399" s="416" t="s">
        <v>696</v>
      </c>
      <c r="T399" s="416" t="s">
        <v>696</v>
      </c>
      <c r="U399" s="416">
        <v>0</v>
      </c>
      <c r="V399" s="418">
        <v>4139</v>
      </c>
      <c r="W399" s="419">
        <v>4139100</v>
      </c>
      <c r="X399" s="416" t="s">
        <v>666</v>
      </c>
      <c r="Y399" s="416" t="s">
        <v>677</v>
      </c>
      <c r="Z399" s="416" t="s">
        <v>664</v>
      </c>
      <c r="AA399" s="416" t="s">
        <v>665</v>
      </c>
      <c r="AB399" s="416" t="s">
        <v>666</v>
      </c>
      <c r="AC399" s="416" t="s">
        <v>666</v>
      </c>
    </row>
    <row r="400" spans="1:29">
      <c r="A400" s="415">
        <v>6</v>
      </c>
      <c r="B400" s="415" t="s">
        <v>628</v>
      </c>
      <c r="C400" s="415">
        <v>99</v>
      </c>
      <c r="D400" s="415" t="s">
        <v>651</v>
      </c>
      <c r="E400" s="415">
        <v>10</v>
      </c>
      <c r="F400" s="415" t="s">
        <v>619</v>
      </c>
      <c r="G400" s="415">
        <v>83</v>
      </c>
      <c r="H400" s="415" t="s">
        <v>657</v>
      </c>
      <c r="I400" s="415" t="s">
        <v>653</v>
      </c>
      <c r="J400" s="415" t="s">
        <v>654</v>
      </c>
      <c r="K400" s="415">
        <v>16090811</v>
      </c>
      <c r="L400" s="41">
        <f>VLOOKUP(K400,WebPosting!$B$6:$B$561,1,FALSE)</f>
        <v>16090811</v>
      </c>
      <c r="M400" s="46">
        <f>(($V400*1000)*(IFERROR($T400-WebPosting!$K$1,"0")))</f>
        <v>0</v>
      </c>
      <c r="N400" s="43">
        <f t="shared" si="6"/>
        <v>0</v>
      </c>
      <c r="O400" s="416" t="s">
        <v>672</v>
      </c>
      <c r="P400" s="416" t="s">
        <v>1042</v>
      </c>
      <c r="Q400" s="416" t="s">
        <v>1043</v>
      </c>
      <c r="R400" s="417">
        <v>42621</v>
      </c>
      <c r="S400" s="416" t="s">
        <v>696</v>
      </c>
      <c r="T400" s="416" t="s">
        <v>696</v>
      </c>
      <c r="U400" s="416">
        <v>0</v>
      </c>
      <c r="V400" s="416">
        <v>820</v>
      </c>
      <c r="W400" s="419">
        <v>819553</v>
      </c>
      <c r="X400" s="416" t="s">
        <v>666</v>
      </c>
      <c r="Y400" s="416" t="s">
        <v>677</v>
      </c>
      <c r="Z400" s="416" t="s">
        <v>664</v>
      </c>
      <c r="AA400" s="416" t="s">
        <v>665</v>
      </c>
      <c r="AB400" s="416" t="s">
        <v>666</v>
      </c>
      <c r="AC400" s="416" t="s">
        <v>666</v>
      </c>
    </row>
    <row r="401" spans="1:29">
      <c r="A401" s="415">
        <v>6</v>
      </c>
      <c r="B401" s="415" t="s">
        <v>628</v>
      </c>
      <c r="C401" s="415">
        <v>99</v>
      </c>
      <c r="D401" s="415" t="s">
        <v>651</v>
      </c>
      <c r="E401" s="415">
        <v>10</v>
      </c>
      <c r="F401" s="415" t="s">
        <v>619</v>
      </c>
      <c r="G401" s="415">
        <v>84</v>
      </c>
      <c r="H401" s="415" t="s">
        <v>658</v>
      </c>
      <c r="I401" s="415" t="s">
        <v>653</v>
      </c>
      <c r="J401" s="415" t="s">
        <v>654</v>
      </c>
      <c r="K401" s="415">
        <v>17011222</v>
      </c>
      <c r="L401" s="41">
        <f>VLOOKUP(K401,WebPosting!$B$6:$B$561,1,FALSE)</f>
        <v>17011222</v>
      </c>
      <c r="M401" s="46">
        <f>(($V401*1000)*(IFERROR($T401-WebPosting!$K$1,"0")))</f>
        <v>0</v>
      </c>
      <c r="N401" s="43">
        <f t="shared" si="6"/>
        <v>0</v>
      </c>
      <c r="O401" s="416" t="s">
        <v>672</v>
      </c>
      <c r="P401" s="416" t="s">
        <v>1044</v>
      </c>
      <c r="Q401" s="416" t="s">
        <v>1045</v>
      </c>
      <c r="R401" s="417">
        <v>42747</v>
      </c>
      <c r="S401" s="416" t="s">
        <v>696</v>
      </c>
      <c r="T401" s="416" t="s">
        <v>696</v>
      </c>
      <c r="U401" s="416">
        <v>0</v>
      </c>
      <c r="V401" s="416">
        <v>500</v>
      </c>
      <c r="W401" s="419">
        <v>500000</v>
      </c>
      <c r="X401" s="416" t="s">
        <v>666</v>
      </c>
      <c r="Y401" s="416" t="s">
        <v>677</v>
      </c>
      <c r="Z401" s="416" t="s">
        <v>664</v>
      </c>
      <c r="AA401" s="416" t="s">
        <v>665</v>
      </c>
      <c r="AB401" s="416" t="s">
        <v>666</v>
      </c>
      <c r="AC401" s="416" t="s">
        <v>666</v>
      </c>
    </row>
    <row r="402" spans="1:29">
      <c r="A402" s="415">
        <v>6</v>
      </c>
      <c r="B402" s="415" t="s">
        <v>628</v>
      </c>
      <c r="C402" s="415">
        <v>99</v>
      </c>
      <c r="D402" s="415" t="s">
        <v>651</v>
      </c>
      <c r="E402" s="415">
        <v>10</v>
      </c>
      <c r="F402" s="415" t="s">
        <v>619</v>
      </c>
      <c r="G402" s="415">
        <v>85</v>
      </c>
      <c r="H402" s="415" t="s">
        <v>659</v>
      </c>
      <c r="I402" s="415" t="s">
        <v>653</v>
      </c>
      <c r="J402" s="415" t="s">
        <v>654</v>
      </c>
      <c r="K402" s="415">
        <v>17030621</v>
      </c>
      <c r="L402" s="41">
        <f>VLOOKUP(K402,WebPosting!$B$6:$B$561,1,FALSE)</f>
        <v>17030621</v>
      </c>
      <c r="M402" s="46">
        <f>(($V402*1000)*(IFERROR($T402-WebPosting!$K$1,"0")))</f>
        <v>0</v>
      </c>
      <c r="N402" s="43">
        <f t="shared" si="6"/>
        <v>0</v>
      </c>
      <c r="O402" s="416" t="s">
        <v>672</v>
      </c>
      <c r="P402" s="416" t="s">
        <v>1046</v>
      </c>
      <c r="Q402" s="416" t="s">
        <v>1047</v>
      </c>
      <c r="R402" s="417">
        <v>42800</v>
      </c>
      <c r="S402" s="416" t="s">
        <v>696</v>
      </c>
      <c r="T402" s="416" t="s">
        <v>696</v>
      </c>
      <c r="U402" s="416">
        <v>0</v>
      </c>
      <c r="V402" s="416">
        <v>473</v>
      </c>
      <c r="W402" s="419">
        <v>472799.71</v>
      </c>
      <c r="X402" s="416" t="s">
        <v>666</v>
      </c>
      <c r="Y402" s="416" t="s">
        <v>677</v>
      </c>
      <c r="Z402" s="416" t="s">
        <v>664</v>
      </c>
      <c r="AA402" s="416" t="s">
        <v>665</v>
      </c>
      <c r="AB402" s="416" t="s">
        <v>666</v>
      </c>
      <c r="AC402" s="416" t="s">
        <v>666</v>
      </c>
    </row>
    <row r="403" spans="1:29">
      <c r="A403" s="415">
        <v>6</v>
      </c>
      <c r="B403" s="415" t="s">
        <v>628</v>
      </c>
      <c r="C403" s="415">
        <v>99</v>
      </c>
      <c r="D403" s="415" t="s">
        <v>651</v>
      </c>
      <c r="E403" s="415">
        <v>10</v>
      </c>
      <c r="F403" s="415" t="s">
        <v>619</v>
      </c>
      <c r="G403" s="415">
        <v>86</v>
      </c>
      <c r="H403" s="415" t="s">
        <v>1051</v>
      </c>
      <c r="I403" s="415" t="s">
        <v>653</v>
      </c>
      <c r="J403" s="415" t="s">
        <v>654</v>
      </c>
      <c r="K403" s="415">
        <v>17032412</v>
      </c>
      <c r="L403" s="41" t="e">
        <f>VLOOKUP(K403,WebPosting!$B$6:$B$561,1,FALSE)</f>
        <v>#N/A</v>
      </c>
      <c r="M403" s="46">
        <f>(($V403*1000)*(IFERROR($T403-WebPosting!$K$1,"0")))</f>
        <v>0</v>
      </c>
      <c r="N403" s="43">
        <f t="shared" si="6"/>
        <v>0</v>
      </c>
      <c r="O403" s="416" t="s">
        <v>672</v>
      </c>
      <c r="P403" s="416" t="s">
        <v>1057</v>
      </c>
      <c r="Q403" s="416" t="s">
        <v>1058</v>
      </c>
      <c r="R403" s="417">
        <v>42818</v>
      </c>
      <c r="S403" s="416" t="s">
        <v>696</v>
      </c>
      <c r="T403" s="416" t="s">
        <v>696</v>
      </c>
      <c r="U403" s="416">
        <v>0</v>
      </c>
      <c r="V403" s="416">
        <v>500</v>
      </c>
      <c r="W403" s="419">
        <v>500000</v>
      </c>
      <c r="X403" s="416" t="s">
        <v>666</v>
      </c>
      <c r="Y403" s="416" t="s">
        <v>677</v>
      </c>
      <c r="Z403" s="416" t="s">
        <v>664</v>
      </c>
      <c r="AA403" s="416" t="s">
        <v>665</v>
      </c>
      <c r="AB403" s="416" t="s">
        <v>666</v>
      </c>
      <c r="AC403" s="416" t="s">
        <v>666</v>
      </c>
    </row>
    <row r="404" spans="1:29">
      <c r="A404" s="391"/>
      <c r="B404" s="391"/>
      <c r="C404" s="391"/>
      <c r="D404" s="391"/>
      <c r="E404" s="391"/>
      <c r="F404" s="391"/>
      <c r="G404" s="391"/>
      <c r="H404" s="391"/>
      <c r="I404" s="391"/>
      <c r="J404" s="391"/>
      <c r="K404" s="391"/>
      <c r="L404" s="41" t="e">
        <f>VLOOKUP(K404,WebPosting!$B$6:$B$561,1,FALSE)</f>
        <v>#N/A</v>
      </c>
      <c r="M404" s="46">
        <f>(($V404*1000)*(IFERROR($T404-WebPosting!$K$1,"0")))</f>
        <v>0</v>
      </c>
      <c r="N404" s="43">
        <f t="shared" ref="N404:N450" si="7">($U404%*($V404*1000))</f>
        <v>0</v>
      </c>
      <c r="O404" s="392"/>
      <c r="P404" s="392"/>
      <c r="Q404" s="392"/>
      <c r="R404" s="393"/>
      <c r="S404" s="392"/>
      <c r="T404" s="392"/>
      <c r="U404" s="392"/>
      <c r="V404" s="392"/>
      <c r="W404" s="394"/>
      <c r="X404" s="392"/>
      <c r="Y404" s="392"/>
      <c r="Z404" s="392"/>
      <c r="AA404" s="392"/>
      <c r="AB404" s="392"/>
      <c r="AC404" s="392"/>
    </row>
    <row r="405" spans="1:29">
      <c r="A405" s="391"/>
      <c r="B405" s="391"/>
      <c r="C405" s="391"/>
      <c r="D405" s="391"/>
      <c r="E405" s="391"/>
      <c r="F405" s="391"/>
      <c r="G405" s="391"/>
      <c r="H405" s="391"/>
      <c r="I405" s="391"/>
      <c r="J405" s="391"/>
      <c r="K405" s="391"/>
      <c r="L405" s="41" t="e">
        <f>VLOOKUP(K405,WebPosting!$B$6:$B$561,1,FALSE)</f>
        <v>#N/A</v>
      </c>
      <c r="M405" s="46">
        <f>(($V405*1000)*(IFERROR($T405-WebPosting!$K$1,"0")))</f>
        <v>0</v>
      </c>
      <c r="N405" s="43">
        <f t="shared" si="7"/>
        <v>0</v>
      </c>
      <c r="O405" s="392"/>
      <c r="P405" s="392"/>
      <c r="Q405" s="392"/>
      <c r="R405" s="393"/>
      <c r="S405" s="392"/>
      <c r="T405" s="392"/>
      <c r="U405" s="392"/>
      <c r="V405" s="392"/>
      <c r="W405" s="394"/>
      <c r="X405" s="392"/>
      <c r="Y405" s="392"/>
      <c r="Z405" s="392"/>
      <c r="AA405" s="392"/>
      <c r="AB405" s="392"/>
      <c r="AC405" s="392"/>
    </row>
    <row r="406" spans="1:29">
      <c r="L406" s="41" t="e">
        <f>VLOOKUP(K406,WebPosting!$B$6:$B$561,1,FALSE)</f>
        <v>#N/A</v>
      </c>
      <c r="M406" s="46">
        <f>(($V406*1000)*(IFERROR($T406-WebPosting!$K$1,"0")))</f>
        <v>0</v>
      </c>
      <c r="N406" s="43">
        <f t="shared" si="7"/>
        <v>0</v>
      </c>
      <c r="R406" s="59"/>
      <c r="S406" s="59"/>
      <c r="T406" s="59"/>
      <c r="V406" s="53"/>
      <c r="W406" s="54"/>
      <c r="AA406" s="54"/>
      <c r="AB406" s="54"/>
    </row>
    <row r="407" spans="1:29">
      <c r="L407" s="41" t="e">
        <f>VLOOKUP(K407,WebPosting!$B$6:$B$561,1,FALSE)</f>
        <v>#N/A</v>
      </c>
      <c r="M407" s="46">
        <f>(($V407*1000)*(IFERROR($T407-WebPosting!$K$1,"0")))</f>
        <v>0</v>
      </c>
      <c r="N407" s="43">
        <f t="shared" si="7"/>
        <v>0</v>
      </c>
      <c r="R407" s="59"/>
      <c r="S407" s="59"/>
      <c r="T407" s="59"/>
      <c r="V407" s="53"/>
      <c r="W407" s="54"/>
      <c r="AA407" s="54"/>
      <c r="AB407" s="54"/>
    </row>
    <row r="408" spans="1:29">
      <c r="L408" s="41" t="e">
        <f>VLOOKUP(K408,WebPosting!$B$6:$B$561,1,FALSE)</f>
        <v>#N/A</v>
      </c>
      <c r="M408" s="46">
        <f>(($V408*1000)*(IFERROR($T408-WebPosting!$K$1,"0")))</f>
        <v>0</v>
      </c>
      <c r="N408" s="43">
        <f t="shared" si="7"/>
        <v>0</v>
      </c>
      <c r="R408" s="59"/>
      <c r="S408" s="59"/>
      <c r="T408" s="59"/>
      <c r="V408" s="53"/>
      <c r="W408" s="54"/>
      <c r="AA408" s="54"/>
      <c r="AB408" s="54"/>
    </row>
    <row r="409" spans="1:29">
      <c r="L409" s="41" t="e">
        <f>VLOOKUP(K409,WebPosting!$B$6:$B$561,1,FALSE)</f>
        <v>#N/A</v>
      </c>
      <c r="M409" s="46">
        <f>(($V409*1000)*(IFERROR($T409-WebPosting!$K$1,"0")))</f>
        <v>0</v>
      </c>
      <c r="N409" s="43">
        <f t="shared" si="7"/>
        <v>0</v>
      </c>
      <c r="R409" s="59"/>
      <c r="S409" s="59"/>
      <c r="T409" s="59"/>
      <c r="V409" s="53"/>
      <c r="W409" s="54"/>
      <c r="AA409" s="54"/>
      <c r="AB409" s="54"/>
    </row>
    <row r="410" spans="1:29">
      <c r="L410" s="41" t="e">
        <f>VLOOKUP(K410,WebPosting!$B$6:$B$561,1,FALSE)</f>
        <v>#N/A</v>
      </c>
      <c r="M410" s="46">
        <f>(($V410*1000)*(IFERROR($T410-WebPosting!$K$1,"0")))</f>
        <v>0</v>
      </c>
      <c r="N410" s="43">
        <f t="shared" si="7"/>
        <v>0</v>
      </c>
      <c r="R410" s="59"/>
      <c r="S410" s="59"/>
      <c r="T410" s="59"/>
      <c r="V410" s="53"/>
      <c r="W410" s="54"/>
      <c r="AA410" s="54"/>
      <c r="AB410" s="54"/>
    </row>
    <row r="411" spans="1:29">
      <c r="L411" s="41" t="e">
        <f>VLOOKUP(K411,WebPosting!$B$6:$B$561,1,FALSE)</f>
        <v>#N/A</v>
      </c>
      <c r="M411" s="46">
        <f>(($V411*1000)*(IFERROR($T411-WebPosting!$K$1,"0")))</f>
        <v>0</v>
      </c>
      <c r="N411" s="43">
        <f t="shared" si="7"/>
        <v>0</v>
      </c>
      <c r="R411" s="59"/>
      <c r="S411" s="59"/>
      <c r="T411" s="59"/>
      <c r="V411" s="53"/>
      <c r="W411" s="54"/>
      <c r="AA411" s="54"/>
      <c r="AB411" s="54"/>
    </row>
    <row r="412" spans="1:29">
      <c r="L412" s="41" t="e">
        <f>VLOOKUP(K412,WebPosting!$B$6:$B$561,1,FALSE)</f>
        <v>#N/A</v>
      </c>
      <c r="M412" s="46">
        <f>(($V412*1000)*(IFERROR($T412-WebPosting!$K$1,"0")))</f>
        <v>0</v>
      </c>
      <c r="N412" s="43">
        <f t="shared" si="7"/>
        <v>0</v>
      </c>
      <c r="R412" s="59"/>
      <c r="S412" s="59"/>
      <c r="T412" s="59"/>
      <c r="V412" s="53"/>
      <c r="W412" s="54"/>
      <c r="AA412" s="54"/>
      <c r="AB412" s="54"/>
    </row>
    <row r="413" spans="1:29">
      <c r="L413" s="41" t="e">
        <f>VLOOKUP(K413,WebPosting!$B$6:$B$561,1,FALSE)</f>
        <v>#N/A</v>
      </c>
      <c r="M413" s="46">
        <f>(($V413*1000)*(IFERROR($T413-WebPosting!$K$1,"0")))</f>
        <v>0</v>
      </c>
      <c r="N413" s="43">
        <f t="shared" si="7"/>
        <v>0</v>
      </c>
      <c r="R413" s="59"/>
      <c r="S413" s="59"/>
      <c r="T413" s="59"/>
      <c r="V413" s="53"/>
      <c r="W413" s="54"/>
      <c r="AA413" s="54"/>
      <c r="AB413" s="54"/>
    </row>
    <row r="414" spans="1:29">
      <c r="L414" s="41" t="e">
        <f>VLOOKUP(K414,WebPosting!$B$6:$B$561,1,FALSE)</f>
        <v>#N/A</v>
      </c>
      <c r="M414" s="46">
        <f>(($V414*1000)*(IFERROR($T414-WebPosting!$K$1,"0")))</f>
        <v>0</v>
      </c>
      <c r="N414" s="43">
        <f t="shared" si="7"/>
        <v>0</v>
      </c>
      <c r="R414" s="59"/>
      <c r="S414" s="59"/>
      <c r="T414" s="59"/>
      <c r="V414" s="53"/>
      <c r="W414" s="54"/>
      <c r="AA414" s="54"/>
      <c r="AB414" s="54"/>
    </row>
    <row r="415" spans="1:29">
      <c r="L415" s="41" t="e">
        <f>VLOOKUP(K415,WebPosting!$B$6:$B$561,1,FALSE)</f>
        <v>#N/A</v>
      </c>
      <c r="M415" s="46">
        <f>(($V415*1000)*(IFERROR($T415-WebPosting!$K$1,"0")))</f>
        <v>0</v>
      </c>
      <c r="N415" s="43">
        <f t="shared" si="7"/>
        <v>0</v>
      </c>
      <c r="R415" s="59"/>
      <c r="S415" s="59"/>
      <c r="T415" s="59"/>
      <c r="V415" s="53"/>
      <c r="W415" s="54"/>
      <c r="AA415" s="54"/>
      <c r="AB415" s="54"/>
    </row>
    <row r="416" spans="1:29">
      <c r="L416" s="41" t="e">
        <f>VLOOKUP(K416,WebPosting!$B$6:$B$561,1,FALSE)</f>
        <v>#N/A</v>
      </c>
      <c r="M416" s="46">
        <f>(($V416*1000)*(IFERROR($T416-WebPosting!$K$1,"0")))</f>
        <v>0</v>
      </c>
      <c r="N416" s="43">
        <f t="shared" si="7"/>
        <v>0</v>
      </c>
      <c r="R416" s="59"/>
      <c r="S416" s="59"/>
      <c r="T416" s="59"/>
      <c r="V416" s="53"/>
      <c r="W416" s="54"/>
      <c r="AA416" s="54"/>
      <c r="AB416" s="54"/>
    </row>
    <row r="417" spans="12:28">
      <c r="L417" s="41" t="e">
        <f>VLOOKUP(K417,WebPosting!$B$6:$B$561,1,FALSE)</f>
        <v>#N/A</v>
      </c>
      <c r="M417" s="46">
        <f>(($V417*1000)*(IFERROR($T417-WebPosting!$K$1,"0")))</f>
        <v>0</v>
      </c>
      <c r="N417" s="43">
        <f t="shared" si="7"/>
        <v>0</v>
      </c>
      <c r="R417" s="59"/>
      <c r="S417" s="59"/>
      <c r="T417" s="59"/>
      <c r="V417" s="53"/>
      <c r="W417" s="54"/>
      <c r="AA417" s="54"/>
      <c r="AB417" s="54"/>
    </row>
    <row r="418" spans="12:28">
      <c r="L418" s="41" t="e">
        <f>VLOOKUP(K418,WebPosting!$B$6:$B$561,1,FALSE)</f>
        <v>#N/A</v>
      </c>
      <c r="M418" s="46">
        <f>(($V418*1000)*(IFERROR($T418-WebPosting!$K$1,"0")))</f>
        <v>0</v>
      </c>
      <c r="N418" s="43">
        <f t="shared" si="7"/>
        <v>0</v>
      </c>
      <c r="R418" s="59"/>
      <c r="S418" s="59"/>
      <c r="T418" s="59"/>
      <c r="V418" s="53"/>
      <c r="W418" s="54"/>
      <c r="AA418" s="54"/>
      <c r="AB418" s="54"/>
    </row>
    <row r="419" spans="12:28">
      <c r="L419" s="41" t="e">
        <f>VLOOKUP(K419,WebPosting!$B$6:$B$561,1,FALSE)</f>
        <v>#N/A</v>
      </c>
      <c r="M419" s="46">
        <f>(($V419*1000)*(IFERROR($T419-WebPosting!$K$1,"0")))</f>
        <v>0</v>
      </c>
      <c r="N419" s="43">
        <f t="shared" si="7"/>
        <v>0</v>
      </c>
      <c r="R419" s="59"/>
      <c r="S419" s="59"/>
      <c r="T419" s="59"/>
      <c r="V419" s="53"/>
      <c r="W419" s="54"/>
      <c r="AA419" s="54"/>
      <c r="AB419" s="54"/>
    </row>
    <row r="420" spans="12:28">
      <c r="L420" s="41" t="e">
        <f>VLOOKUP(K420,WebPosting!$B$6:$B$561,1,FALSE)</f>
        <v>#N/A</v>
      </c>
      <c r="M420" s="46">
        <f>(($V420*1000)*(IFERROR($T420-WebPosting!$K$1,"0")))</f>
        <v>0</v>
      </c>
      <c r="N420" s="43">
        <f t="shared" si="7"/>
        <v>0</v>
      </c>
      <c r="R420" s="59"/>
      <c r="S420" s="59"/>
      <c r="T420" s="59"/>
      <c r="V420" s="53"/>
      <c r="W420" s="54"/>
      <c r="AA420" s="54"/>
      <c r="AB420" s="54"/>
    </row>
    <row r="421" spans="12:28">
      <c r="L421" s="41" t="e">
        <f>VLOOKUP(K421,WebPosting!$B$6:$B$561,1,FALSE)</f>
        <v>#N/A</v>
      </c>
      <c r="M421" s="46">
        <f>(($V421*1000)*(IFERROR($T421-WebPosting!$K$1,"0")))</f>
        <v>0</v>
      </c>
      <c r="N421" s="43">
        <f t="shared" si="7"/>
        <v>0</v>
      </c>
      <c r="R421" s="59"/>
      <c r="S421" s="59"/>
      <c r="T421" s="59"/>
      <c r="V421" s="53"/>
      <c r="W421" s="54"/>
      <c r="AA421" s="54"/>
      <c r="AB421" s="54"/>
    </row>
    <row r="422" spans="12:28">
      <c r="L422" s="41" t="e">
        <f>VLOOKUP(K422,WebPosting!$B$6:$B$561,1,FALSE)</f>
        <v>#N/A</v>
      </c>
      <c r="M422" s="46">
        <f>(($V422*1000)*(IFERROR($T422-WebPosting!$K$1,"0")))</f>
        <v>0</v>
      </c>
      <c r="N422" s="43">
        <f t="shared" si="7"/>
        <v>0</v>
      </c>
      <c r="R422" s="59"/>
      <c r="S422" s="59"/>
      <c r="T422" s="59"/>
      <c r="V422" s="53"/>
      <c r="W422" s="54"/>
      <c r="AA422" s="54"/>
      <c r="AB422" s="54"/>
    </row>
    <row r="423" spans="12:28">
      <c r="L423" s="41" t="e">
        <f>VLOOKUP(K423,WebPosting!$B$6:$B$561,1,FALSE)</f>
        <v>#N/A</v>
      </c>
      <c r="M423" s="46">
        <f>(($V423*1000)*(IFERROR($T423-WebPosting!$K$1,"0")))</f>
        <v>0</v>
      </c>
      <c r="N423" s="43">
        <f t="shared" si="7"/>
        <v>0</v>
      </c>
      <c r="R423" s="59"/>
      <c r="S423" s="59"/>
      <c r="T423" s="59"/>
      <c r="V423" s="53"/>
      <c r="W423" s="54"/>
      <c r="AA423" s="54"/>
      <c r="AB423" s="54"/>
    </row>
    <row r="424" spans="12:28">
      <c r="L424" s="41" t="e">
        <f>VLOOKUP(K424,WebPosting!$B$6:$B$561,1,FALSE)</f>
        <v>#N/A</v>
      </c>
      <c r="M424" s="46">
        <f>(($V424*1000)*(IFERROR($T424-WebPosting!$K$1,"0")))</f>
        <v>0</v>
      </c>
      <c r="N424" s="43">
        <f t="shared" si="7"/>
        <v>0</v>
      </c>
      <c r="R424" s="59"/>
      <c r="S424" s="59"/>
      <c r="T424" s="59"/>
      <c r="V424" s="53"/>
      <c r="W424" s="54"/>
      <c r="AA424" s="54"/>
      <c r="AB424" s="54"/>
    </row>
    <row r="425" spans="12:28">
      <c r="L425" s="41" t="e">
        <f>VLOOKUP(K425,WebPosting!$B$6:$B$561,1,FALSE)</f>
        <v>#N/A</v>
      </c>
      <c r="M425" s="46">
        <f>(($V425*1000)*(IFERROR($T425-WebPosting!$K$1,"0")))</f>
        <v>0</v>
      </c>
      <c r="N425" s="43">
        <f t="shared" si="7"/>
        <v>0</v>
      </c>
      <c r="R425" s="59"/>
      <c r="S425" s="59"/>
      <c r="T425" s="59"/>
      <c r="V425" s="53"/>
      <c r="W425" s="54"/>
      <c r="AA425" s="54"/>
      <c r="AB425" s="54"/>
    </row>
    <row r="426" spans="12:28">
      <c r="L426" s="41" t="e">
        <f>VLOOKUP(K426,WebPosting!$B$6:$B$561,1,FALSE)</f>
        <v>#N/A</v>
      </c>
      <c r="M426" s="46">
        <f>(($V426*1000)*(IFERROR($T426-WebPosting!$K$1,"0")))</f>
        <v>0</v>
      </c>
      <c r="N426" s="43">
        <f t="shared" si="7"/>
        <v>0</v>
      </c>
      <c r="R426" s="59"/>
      <c r="S426" s="59"/>
      <c r="T426" s="59"/>
      <c r="V426" s="53"/>
      <c r="W426" s="54"/>
      <c r="AA426" s="54"/>
      <c r="AB426" s="54"/>
    </row>
    <row r="427" spans="12:28">
      <c r="L427" s="41" t="e">
        <f>VLOOKUP(K427,WebPosting!$B$6:$B$561,1,FALSE)</f>
        <v>#N/A</v>
      </c>
      <c r="M427" s="46">
        <f>(($V427*1000)*(IFERROR($T427-WebPosting!$K$1,"0")))</f>
        <v>0</v>
      </c>
      <c r="N427" s="43">
        <f t="shared" si="7"/>
        <v>0</v>
      </c>
      <c r="R427" s="59"/>
      <c r="S427" s="59"/>
      <c r="T427" s="59"/>
      <c r="V427" s="53"/>
      <c r="W427" s="54"/>
      <c r="AA427" s="54"/>
      <c r="AB427" s="54"/>
    </row>
    <row r="428" spans="12:28">
      <c r="L428" s="41" t="e">
        <f>VLOOKUP(K428,WebPosting!$B$6:$B$561,1,FALSE)</f>
        <v>#N/A</v>
      </c>
      <c r="M428" s="46">
        <f>(($V428*1000)*(IFERROR($T428-WebPosting!$K$1,"0")))</f>
        <v>0</v>
      </c>
      <c r="N428" s="43">
        <f t="shared" si="7"/>
        <v>0</v>
      </c>
      <c r="R428" s="59"/>
      <c r="S428" s="59"/>
      <c r="T428" s="59"/>
      <c r="V428" s="53"/>
      <c r="W428" s="54"/>
      <c r="AA428" s="54"/>
      <c r="AB428" s="54"/>
    </row>
    <row r="429" spans="12:28">
      <c r="L429" s="41" t="e">
        <f>VLOOKUP(K429,WebPosting!$B$6:$B$561,1,FALSE)</f>
        <v>#N/A</v>
      </c>
      <c r="M429" s="46">
        <f>(($V429*1000)*(IFERROR($T429-WebPosting!$K$1,"0")))</f>
        <v>0</v>
      </c>
      <c r="N429" s="43">
        <f t="shared" si="7"/>
        <v>0</v>
      </c>
      <c r="R429" s="59"/>
      <c r="S429" s="59"/>
      <c r="T429" s="59"/>
      <c r="V429" s="53"/>
      <c r="W429" s="54"/>
      <c r="AA429" s="54"/>
      <c r="AB429" s="54"/>
    </row>
    <row r="430" spans="12:28">
      <c r="L430" s="41" t="e">
        <f>VLOOKUP(K430,WebPosting!$B$6:$B$561,1,FALSE)</f>
        <v>#N/A</v>
      </c>
      <c r="M430" s="46">
        <f>(($V430*1000)*(IFERROR($T430-WebPosting!$K$1,"0")))</f>
        <v>0</v>
      </c>
      <c r="N430" s="43">
        <f t="shared" si="7"/>
        <v>0</v>
      </c>
      <c r="R430" s="59"/>
      <c r="S430" s="59"/>
      <c r="T430" s="59"/>
      <c r="W430" s="54"/>
    </row>
    <row r="431" spans="12:28">
      <c r="L431" s="41" t="e">
        <f>VLOOKUP(K431,WebPosting!$B$6:$B$561,1,FALSE)</f>
        <v>#N/A</v>
      </c>
      <c r="M431" s="46">
        <f>(($V431*1000)*(IFERROR($T431-WebPosting!$K$1,"0")))</f>
        <v>0</v>
      </c>
      <c r="N431" s="43">
        <f t="shared" si="7"/>
        <v>0</v>
      </c>
      <c r="R431" s="59"/>
      <c r="S431" s="59"/>
      <c r="T431" s="59"/>
      <c r="V431" s="53"/>
      <c r="W431" s="54"/>
      <c r="AA431" s="54"/>
      <c r="AB431" s="54"/>
    </row>
    <row r="432" spans="12:28">
      <c r="L432" s="41" t="e">
        <f>VLOOKUP(K432,WebPosting!$B$6:$B$561,1,FALSE)</f>
        <v>#N/A</v>
      </c>
      <c r="M432" s="46">
        <f>(($V432*1000)*(IFERROR($T432-WebPosting!$K$1,"0")))</f>
        <v>0</v>
      </c>
      <c r="N432" s="43">
        <f t="shared" si="7"/>
        <v>0</v>
      </c>
      <c r="R432" s="59"/>
      <c r="S432" s="59"/>
      <c r="T432" s="59"/>
      <c r="V432" s="53"/>
      <c r="W432" s="54"/>
      <c r="AA432" s="54"/>
      <c r="AB432" s="54"/>
    </row>
    <row r="433" spans="12:28">
      <c r="L433" s="41" t="e">
        <f>VLOOKUP(K433,WebPosting!$B$6:$B$561,1,FALSE)</f>
        <v>#N/A</v>
      </c>
      <c r="M433" s="46">
        <f>(($V433*1000)*(IFERROR($T433-WebPosting!$K$1,"0")))</f>
        <v>0</v>
      </c>
      <c r="N433" s="43">
        <f t="shared" si="7"/>
        <v>0</v>
      </c>
      <c r="R433" s="59"/>
      <c r="S433" s="59"/>
      <c r="T433" s="59"/>
      <c r="V433" s="53"/>
      <c r="W433" s="54"/>
      <c r="AA433" s="54"/>
      <c r="AB433" s="54"/>
    </row>
    <row r="434" spans="12:28">
      <c r="L434" s="41" t="e">
        <f>VLOOKUP(K434,WebPosting!$B$6:$B$561,1,FALSE)</f>
        <v>#N/A</v>
      </c>
      <c r="M434" s="46">
        <f>(($V434*1000)*(IFERROR($T434-WebPosting!$K$1,"0")))</f>
        <v>0</v>
      </c>
      <c r="N434" s="43">
        <f t="shared" si="7"/>
        <v>0</v>
      </c>
      <c r="R434" s="59"/>
      <c r="S434" s="59"/>
      <c r="T434" s="59"/>
      <c r="W434" s="54"/>
    </row>
    <row r="435" spans="12:28">
      <c r="L435" s="41" t="e">
        <f>VLOOKUP(K435,WebPosting!$B$6:$B$561,1,FALSE)</f>
        <v>#N/A</v>
      </c>
      <c r="M435" s="46">
        <f>(($V435*1000)*(IFERROR($T435-WebPosting!$K$1,"0")))</f>
        <v>0</v>
      </c>
      <c r="N435" s="43">
        <f t="shared" si="7"/>
        <v>0</v>
      </c>
      <c r="R435" s="59"/>
      <c r="S435" s="59"/>
      <c r="T435" s="59"/>
      <c r="W435" s="54"/>
    </row>
    <row r="436" spans="12:28">
      <c r="L436" s="41" t="e">
        <f>VLOOKUP(K436,WebPosting!$B$6:$B$561,1,FALSE)</f>
        <v>#N/A</v>
      </c>
      <c r="M436" s="46">
        <f>(($V436*1000)*(IFERROR($T436-WebPosting!$K$1,"0")))</f>
        <v>0</v>
      </c>
      <c r="N436" s="43">
        <f t="shared" si="7"/>
        <v>0</v>
      </c>
      <c r="R436" s="59"/>
      <c r="S436" s="59"/>
      <c r="T436" s="59"/>
      <c r="W436" s="54"/>
    </row>
    <row r="437" spans="12:28">
      <c r="L437" s="41" t="e">
        <f>VLOOKUP(K437,WebPosting!$B$6:$B$561,1,FALSE)</f>
        <v>#N/A</v>
      </c>
      <c r="M437" s="46">
        <f>(($V437*1000)*(IFERROR($T437-WebPosting!$K$1,"0")))</f>
        <v>0</v>
      </c>
      <c r="N437" s="43">
        <f t="shared" si="7"/>
        <v>0</v>
      </c>
      <c r="R437" s="59"/>
      <c r="S437" s="59"/>
      <c r="T437" s="59"/>
      <c r="W437" s="54"/>
    </row>
    <row r="438" spans="12:28">
      <c r="L438" s="41" t="e">
        <f>VLOOKUP(K438,WebPosting!$B$6:$B$561,1,FALSE)</f>
        <v>#N/A</v>
      </c>
      <c r="M438" s="46">
        <f>(($V438*1000)*(IFERROR($T438-WebPosting!$K$1,"0")))</f>
        <v>0</v>
      </c>
      <c r="N438" s="43">
        <f t="shared" si="7"/>
        <v>0</v>
      </c>
      <c r="R438" s="59"/>
      <c r="S438" s="59"/>
      <c r="T438" s="59"/>
      <c r="W438" s="54"/>
    </row>
    <row r="439" spans="12:28">
      <c r="L439" s="41" t="e">
        <f>VLOOKUP(K439,WebPosting!$B$6:$B$561,1,FALSE)</f>
        <v>#N/A</v>
      </c>
      <c r="M439" s="46">
        <f>(($V439*1000)*(IFERROR($T439-WebPosting!$K$1,"0")))</f>
        <v>0</v>
      </c>
      <c r="N439" s="43">
        <f t="shared" si="7"/>
        <v>0</v>
      </c>
      <c r="R439" s="59"/>
      <c r="S439" s="59"/>
      <c r="T439" s="59"/>
      <c r="W439" s="54"/>
    </row>
    <row r="440" spans="12:28">
      <c r="L440" s="41" t="e">
        <f>VLOOKUP(K440,WebPosting!$B$6:$B$561,1,FALSE)</f>
        <v>#N/A</v>
      </c>
      <c r="M440" s="46">
        <f>(($V440*1000)*(IFERROR($T440-WebPosting!$K$1,"0")))</f>
        <v>0</v>
      </c>
      <c r="N440" s="43">
        <f t="shared" si="7"/>
        <v>0</v>
      </c>
      <c r="R440" s="59"/>
      <c r="S440" s="59"/>
      <c r="T440" s="59"/>
      <c r="W440" s="54"/>
    </row>
    <row r="441" spans="12:28">
      <c r="L441" s="41" t="e">
        <f>VLOOKUP(K441,WebPosting!$B$6:$B$561,1,FALSE)</f>
        <v>#N/A</v>
      </c>
      <c r="M441" s="46">
        <f>(($V441*1000)*(IFERROR($T441-WebPosting!$K$1,"0")))</f>
        <v>0</v>
      </c>
      <c r="N441" s="43">
        <f t="shared" si="7"/>
        <v>0</v>
      </c>
      <c r="R441" s="59"/>
      <c r="S441" s="59"/>
      <c r="T441" s="59"/>
      <c r="W441" s="54"/>
    </row>
    <row r="442" spans="12:28">
      <c r="L442" s="41" t="e">
        <f>VLOOKUP(K442,WebPosting!$B$6:$B$561,1,FALSE)</f>
        <v>#N/A</v>
      </c>
      <c r="M442" s="46">
        <f>(($V442*1000)*(IFERROR($T442-WebPosting!$K$1,"0")))</f>
        <v>0</v>
      </c>
      <c r="N442" s="43">
        <f t="shared" si="7"/>
        <v>0</v>
      </c>
      <c r="R442" s="59"/>
      <c r="S442" s="59"/>
      <c r="T442" s="59"/>
      <c r="W442" s="54"/>
    </row>
    <row r="443" spans="12:28">
      <c r="L443" s="41" t="e">
        <f>VLOOKUP(K443,WebPosting!$B$6:$B$561,1,FALSE)</f>
        <v>#N/A</v>
      </c>
      <c r="M443" s="46">
        <f>(($V443*1000)*(IFERROR($T443-WebPosting!$K$1,"0")))</f>
        <v>0</v>
      </c>
      <c r="N443" s="43">
        <f t="shared" si="7"/>
        <v>0</v>
      </c>
      <c r="R443" s="59"/>
      <c r="S443" s="59"/>
      <c r="T443" s="59"/>
      <c r="W443" s="54"/>
    </row>
    <row r="444" spans="12:28">
      <c r="L444" s="41" t="e">
        <f>VLOOKUP(K444,WebPosting!$B$6:$B$561,1,FALSE)</f>
        <v>#N/A</v>
      </c>
      <c r="M444" s="46">
        <f>(($V444*1000)*(IFERROR($T444-WebPosting!$K$1,"0")))</f>
        <v>0</v>
      </c>
      <c r="N444" s="43">
        <f t="shared" si="7"/>
        <v>0</v>
      </c>
      <c r="R444" s="59"/>
      <c r="S444" s="59"/>
      <c r="T444" s="59"/>
      <c r="W444" s="54"/>
    </row>
    <row r="445" spans="12:28">
      <c r="L445" s="41" t="e">
        <f>VLOOKUP(K445,WebPosting!$B$6:$B$561,1,FALSE)</f>
        <v>#N/A</v>
      </c>
      <c r="M445" s="46">
        <f>(($V445*1000)*(IFERROR($T445-WebPosting!$K$1,"0")))</f>
        <v>0</v>
      </c>
      <c r="N445" s="43">
        <f t="shared" si="7"/>
        <v>0</v>
      </c>
      <c r="R445" s="59"/>
      <c r="S445" s="59"/>
      <c r="T445" s="59"/>
      <c r="W445" s="54"/>
    </row>
    <row r="446" spans="12:28">
      <c r="L446" s="41" t="e">
        <f>VLOOKUP(K446,WebPosting!$B$6:$B$561,1,FALSE)</f>
        <v>#N/A</v>
      </c>
      <c r="M446" s="46">
        <f>(($V446*1000)*(IFERROR($T446-WebPosting!$K$1,"0")))</f>
        <v>0</v>
      </c>
      <c r="N446" s="43">
        <f t="shared" si="7"/>
        <v>0</v>
      </c>
      <c r="R446" s="59"/>
      <c r="S446" s="59"/>
      <c r="T446" s="59"/>
      <c r="W446" s="54"/>
    </row>
    <row r="447" spans="12:28">
      <c r="L447" s="41" t="e">
        <f>VLOOKUP(K447,WebPosting!$B$6:$B$561,1,FALSE)</f>
        <v>#N/A</v>
      </c>
      <c r="M447" s="46">
        <f>(($V447*1000)*(IFERROR($T447-WebPosting!$K$1,"0")))</f>
        <v>0</v>
      </c>
      <c r="N447" s="43">
        <f t="shared" si="7"/>
        <v>0</v>
      </c>
      <c r="R447" s="59"/>
      <c r="S447" s="59"/>
      <c r="T447" s="59"/>
      <c r="W447" s="54"/>
    </row>
    <row r="448" spans="12:28">
      <c r="L448" s="41" t="e">
        <f>VLOOKUP(K448,WebPosting!$B$6:$B$561,1,FALSE)</f>
        <v>#N/A</v>
      </c>
      <c r="M448" s="46">
        <f>(($V448*1000)*(IFERROR($T448-WebPosting!$K$1,"0")))</f>
        <v>0</v>
      </c>
      <c r="N448" s="43">
        <f t="shared" si="7"/>
        <v>0</v>
      </c>
      <c r="R448" s="59"/>
      <c r="S448" s="59"/>
      <c r="T448" s="59"/>
      <c r="W448" s="54"/>
    </row>
    <row r="449" spans="1:23">
      <c r="L449" s="41" t="e">
        <f>VLOOKUP(K449,WebPosting!$B$6:$B$561,1,FALSE)</f>
        <v>#N/A</v>
      </c>
      <c r="M449" s="46">
        <f>(($V449*1000)*(IFERROR($T449-WebPosting!$K$1,"0")))</f>
        <v>0</v>
      </c>
      <c r="N449" s="43">
        <f t="shared" si="7"/>
        <v>0</v>
      </c>
      <c r="R449" s="59"/>
      <c r="S449" s="59"/>
      <c r="T449" s="59"/>
      <c r="W449" s="54"/>
    </row>
    <row r="450" spans="1:23">
      <c r="L450" s="41" t="e">
        <f>VLOOKUP(K450,WebPosting!$B$6:$B$561,1,FALSE)</f>
        <v>#N/A</v>
      </c>
      <c r="M450" s="46">
        <f>(($V450*1000)*(IFERROR($T450-WebPosting!$K$1,"0")))</f>
        <v>0</v>
      </c>
      <c r="N450" s="43">
        <f t="shared" si="7"/>
        <v>0</v>
      </c>
      <c r="R450" s="59"/>
      <c r="V450" s="53"/>
      <c r="W450" s="54"/>
    </row>
    <row r="451" spans="1:23">
      <c r="L451" s="41" t="e">
        <f>VLOOKUP(K451,WebPosting!$B$6:$B$561,1,FALSE)</f>
        <v>#N/A</v>
      </c>
      <c r="M451" s="45"/>
      <c r="N451" s="41"/>
      <c r="R451" s="59"/>
      <c r="W451" s="54"/>
    </row>
    <row r="452" spans="1:23">
      <c r="L452" s="41" t="e">
        <f>VLOOKUP(K452,WebPosting!$B$6:$B$561,1,FALSE)</f>
        <v>#N/A</v>
      </c>
      <c r="M452" s="45"/>
      <c r="N452" s="41"/>
      <c r="R452" s="59"/>
      <c r="V452" s="53"/>
      <c r="W452" s="54"/>
    </row>
    <row r="453" spans="1:23">
      <c r="L453" s="41" t="e">
        <f>VLOOKUP(K453,WebPosting!$B$6:$B$561,1,FALSE)</f>
        <v>#N/A</v>
      </c>
      <c r="M453" s="45"/>
      <c r="N453" s="41"/>
      <c r="R453" s="59"/>
    </row>
    <row r="454" spans="1:23">
      <c r="L454" s="41" t="e">
        <f>VLOOKUP(K454,WebPosting!$B$6:$B$561,1,FALSE)</f>
        <v>#N/A</v>
      </c>
      <c r="M454" s="45"/>
      <c r="N454" s="41"/>
      <c r="R454" s="59"/>
    </row>
    <row r="455" spans="1:2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41" t="e">
        <f>VLOOKUP(K455,WebPosting!$B$6:$B$561,1,FALSE)</f>
        <v>#N/A</v>
      </c>
      <c r="M455" s="45"/>
      <c r="N455" s="41"/>
      <c r="R455" s="59"/>
      <c r="W455" s="54"/>
    </row>
    <row r="456" spans="1:2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41" t="e">
        <f>VLOOKUP(K456,WebPosting!$B$6:$B$561,1,FALSE)</f>
        <v>#N/A</v>
      </c>
      <c r="M456" s="45"/>
      <c r="N456" s="41"/>
      <c r="R456" s="59"/>
      <c r="V456" s="53"/>
      <c r="W456" s="54"/>
    </row>
    <row r="457" spans="1:2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41" t="e">
        <f>VLOOKUP(K457,WebPosting!$B$6:$B$561,1,FALSE)</f>
        <v>#N/A</v>
      </c>
      <c r="M457" s="45"/>
      <c r="N457" s="41"/>
      <c r="R457" s="59"/>
      <c r="V457" s="53"/>
      <c r="W457" s="54"/>
    </row>
    <row r="458" spans="1:2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41" t="e">
        <f>VLOOKUP(K458,WebPosting!$B$6:$B$561,1,FALSE)</f>
        <v>#N/A</v>
      </c>
      <c r="M458" s="45"/>
      <c r="N458" s="41"/>
      <c r="R458" s="59"/>
      <c r="V458" s="53"/>
      <c r="W458" s="54"/>
    </row>
    <row r="459" spans="1:2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41" t="e">
        <f>VLOOKUP(K459,WebPosting!$B$6:$B$561,1,FALSE)</f>
        <v>#N/A</v>
      </c>
      <c r="M459" s="45"/>
      <c r="N459" s="41"/>
      <c r="R459" s="59"/>
      <c r="W459" s="54"/>
    </row>
    <row r="460" spans="1:2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41" t="e">
        <f>VLOOKUP(K460,WebPosting!$B$6:$B$561,1,FALSE)</f>
        <v>#N/A</v>
      </c>
      <c r="M460" s="45"/>
      <c r="N460" s="41"/>
      <c r="R460" s="59"/>
      <c r="V460" s="53"/>
      <c r="W460" s="54"/>
    </row>
    <row r="461" spans="1:2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41" t="e">
        <f>VLOOKUP(K461,WebPosting!$B$6:$B$561,1,FALSE)</f>
        <v>#N/A</v>
      </c>
      <c r="M461" s="45"/>
      <c r="N461" s="41"/>
      <c r="R461" s="59"/>
      <c r="V461" s="53"/>
      <c r="W461" s="54"/>
    </row>
    <row r="462" spans="1:2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41" t="e">
        <f>VLOOKUP(K462,WebPosting!$B$6:$B$561,1,FALSE)</f>
        <v>#N/A</v>
      </c>
      <c r="M462" s="45"/>
      <c r="N462" s="41"/>
      <c r="R462" s="59"/>
      <c r="W462" s="54"/>
    </row>
    <row r="463" spans="1:2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41" t="e">
        <f>VLOOKUP(K463,WebPosting!$B$6:$B$561,1,FALSE)</f>
        <v>#N/A</v>
      </c>
      <c r="M463" s="45"/>
      <c r="N463" s="41"/>
      <c r="R463" s="59"/>
    </row>
    <row r="464" spans="1:2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41" t="e">
        <f>VLOOKUP(K464,WebPosting!$B$6:$B$561,1,FALSE)</f>
        <v>#N/A</v>
      </c>
      <c r="M464" s="45"/>
      <c r="N464" s="41"/>
      <c r="R464" s="59"/>
      <c r="V464" s="53"/>
      <c r="W464" s="54"/>
    </row>
    <row r="465" spans="1:2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41" t="e">
        <f>VLOOKUP(K465,WebPosting!$B$6:$B$561,1,FALSE)</f>
        <v>#N/A</v>
      </c>
      <c r="M465" s="45"/>
      <c r="N465" s="41"/>
      <c r="R465" s="59"/>
    </row>
    <row r="466" spans="1:23">
      <c r="L466" s="41" t="e">
        <f>VLOOKUP(K466,WebPosting!$B$6:$B$561,1,FALSE)</f>
        <v>#N/A</v>
      </c>
      <c r="M466" s="45"/>
      <c r="N466" s="41"/>
      <c r="R466" s="59"/>
    </row>
    <row r="467" spans="1:23">
      <c r="L467" s="41" t="e">
        <f>VLOOKUP(K467,WebPosting!$B$6:$B$561,1,FALSE)</f>
        <v>#N/A</v>
      </c>
      <c r="M467" s="45"/>
      <c r="N467" s="41"/>
      <c r="R467" s="59"/>
      <c r="V467" s="53"/>
      <c r="W467" s="54"/>
    </row>
    <row r="468" spans="1:23">
      <c r="L468" s="41" t="e">
        <f>VLOOKUP(K468,WebPosting!$B$6:$B$561,1,FALSE)</f>
        <v>#N/A</v>
      </c>
      <c r="M468" s="45"/>
      <c r="N468" s="41"/>
      <c r="R468" s="59"/>
      <c r="W468" s="54"/>
    </row>
    <row r="469" spans="1:23">
      <c r="L469" s="41" t="e">
        <f>VLOOKUP(K469,WebPosting!$B$6:$B$561,1,FALSE)</f>
        <v>#N/A</v>
      </c>
      <c r="M469" s="45"/>
      <c r="N469" s="41"/>
      <c r="R469" s="59"/>
      <c r="V469" s="53"/>
      <c r="W469" s="54"/>
    </row>
    <row r="470" spans="1:23">
      <c r="L470" s="41" t="e">
        <f>VLOOKUP(K470,WebPosting!$B$6:$B$561,1,FALSE)</f>
        <v>#N/A</v>
      </c>
      <c r="M470" s="45"/>
      <c r="N470" s="41"/>
      <c r="R470" s="59"/>
      <c r="V470" s="53"/>
      <c r="W470" s="54"/>
    </row>
    <row r="471" spans="1:23">
      <c r="L471" s="41" t="e">
        <f>VLOOKUP(K471,WebPosting!$B$6:$B$561,1,FALSE)</f>
        <v>#N/A</v>
      </c>
      <c r="M471" s="45"/>
      <c r="N471" s="41"/>
      <c r="R471" s="59"/>
      <c r="V471" s="53"/>
      <c r="W471" s="54"/>
    </row>
    <row r="472" spans="1:23">
      <c r="L472" s="41" t="e">
        <f>VLOOKUP(K472,WebPosting!$B$6:$B$561,1,FALSE)</f>
        <v>#N/A</v>
      </c>
      <c r="M472" s="45"/>
      <c r="N472" s="41"/>
      <c r="R472" s="59"/>
      <c r="W472" s="54"/>
    </row>
    <row r="473" spans="1:23">
      <c r="L473" s="41" t="e">
        <f>VLOOKUP(K473,WebPosting!$B$6:$B$561,1,FALSE)</f>
        <v>#N/A</v>
      </c>
      <c r="M473" s="45"/>
      <c r="N473" s="41"/>
      <c r="R473" s="59"/>
      <c r="W473" s="54"/>
    </row>
    <row r="474" spans="1:23">
      <c r="L474" s="41" t="e">
        <f>VLOOKUP(K474,WebPosting!$B$6:$B$561,1,FALSE)</f>
        <v>#N/A</v>
      </c>
      <c r="M474" s="45"/>
      <c r="N474" s="41"/>
      <c r="R474" s="59"/>
    </row>
    <row r="475" spans="1:23">
      <c r="L475" s="41" t="e">
        <f>VLOOKUP(K475,WebPosting!$B$6:$B$561,1,FALSE)</f>
        <v>#N/A</v>
      </c>
      <c r="M475" s="45"/>
      <c r="N475" s="41"/>
      <c r="R475" s="59"/>
      <c r="W475" s="54"/>
    </row>
    <row r="476" spans="1:23">
      <c r="L476" s="41" t="e">
        <f>VLOOKUP(K476,WebPosting!$B$6:$B$561,1,FALSE)</f>
        <v>#N/A</v>
      </c>
      <c r="M476" s="45"/>
      <c r="N476" s="41"/>
      <c r="R476" s="59"/>
    </row>
    <row r="477" spans="1:23">
      <c r="L477" s="41" t="e">
        <f>VLOOKUP(K477,WebPosting!$B$6:$B$561,1,FALSE)</f>
        <v>#N/A</v>
      </c>
      <c r="M477" s="45"/>
      <c r="N477" s="41"/>
      <c r="R477" s="59"/>
      <c r="V477" s="53"/>
      <c r="W477" s="54"/>
    </row>
    <row r="478" spans="1:23">
      <c r="L478" s="41" t="e">
        <f>VLOOKUP(K478,WebPosting!$B$6:$B$561,1,FALSE)</f>
        <v>#N/A</v>
      </c>
      <c r="M478" s="45"/>
      <c r="N478" s="41"/>
      <c r="R478" s="59"/>
      <c r="V478" s="53"/>
      <c r="W478" s="54"/>
    </row>
    <row r="479" spans="1:23">
      <c r="L479" s="41" t="e">
        <f>VLOOKUP(K479,WebPosting!$B$6:$B$561,1,FALSE)</f>
        <v>#N/A</v>
      </c>
      <c r="M479" s="45"/>
      <c r="N479" s="41"/>
      <c r="R479" s="59"/>
      <c r="V479" s="53"/>
      <c r="W479" s="54"/>
    </row>
    <row r="480" spans="1:23">
      <c r="L480" s="41" t="e">
        <f>VLOOKUP(K480,WebPosting!$B$6:$B$561,1,FALSE)</f>
        <v>#N/A</v>
      </c>
      <c r="M480" s="45"/>
      <c r="N480" s="41"/>
      <c r="R480" s="59"/>
    </row>
    <row r="481" spans="12:23">
      <c r="L481" s="41" t="e">
        <f>VLOOKUP(K481,WebPosting!$B$6:$B$561,1,FALSE)</f>
        <v>#N/A</v>
      </c>
      <c r="M481" s="45"/>
      <c r="N481" s="41"/>
      <c r="R481" s="59"/>
    </row>
    <row r="482" spans="12:23">
      <c r="L482" s="41" t="e">
        <f>VLOOKUP(K482,WebPosting!$B$6:$B$561,1,FALSE)</f>
        <v>#N/A</v>
      </c>
      <c r="M482" s="45"/>
      <c r="N482" s="41"/>
      <c r="R482" s="59"/>
      <c r="V482" s="53"/>
      <c r="W482" s="54"/>
    </row>
    <row r="483" spans="12:23">
      <c r="L483" s="41" t="e">
        <f>VLOOKUP(K483,WebPosting!$B$6:$B$561,1,FALSE)</f>
        <v>#N/A</v>
      </c>
      <c r="M483" s="45"/>
      <c r="N483" s="41"/>
      <c r="R483" s="59"/>
      <c r="V483" s="53"/>
      <c r="W483" s="54"/>
    </row>
    <row r="484" spans="12:23">
      <c r="L484" s="41" t="e">
        <f>VLOOKUP(K484,WebPosting!$B$6:$B$561,1,FALSE)</f>
        <v>#N/A</v>
      </c>
      <c r="M484" s="45"/>
      <c r="N484" s="41"/>
      <c r="R484" s="59"/>
      <c r="V484" s="53"/>
      <c r="W484" s="54"/>
    </row>
    <row r="485" spans="12:23">
      <c r="L485" s="41" t="e">
        <f>VLOOKUP(K485,WebPosting!$B$6:$B$561,1,FALSE)</f>
        <v>#N/A</v>
      </c>
      <c r="M485" s="45"/>
      <c r="N485" s="41"/>
      <c r="R485" s="59"/>
      <c r="V485" s="53"/>
      <c r="W485" s="54"/>
    </row>
    <row r="486" spans="12:23">
      <c r="L486" s="41" t="e">
        <f>VLOOKUP(K486,WebPosting!$B$6:$B$561,1,FALSE)</f>
        <v>#N/A</v>
      </c>
      <c r="M486" s="45"/>
      <c r="N486" s="41"/>
      <c r="R486" s="59"/>
      <c r="V486" s="53"/>
      <c r="W486" s="54"/>
    </row>
    <row r="487" spans="12:23">
      <c r="L487" s="41" t="e">
        <f>VLOOKUP(K487,WebPosting!$B$6:$B$561,1,FALSE)</f>
        <v>#N/A</v>
      </c>
      <c r="M487" s="45"/>
      <c r="N487" s="41"/>
      <c r="R487" s="59"/>
      <c r="V487" s="53"/>
      <c r="W487" s="54"/>
    </row>
    <row r="488" spans="12:23">
      <c r="L488" s="41" t="e">
        <f>VLOOKUP(K488,WebPosting!$B$6:$B$561,1,FALSE)</f>
        <v>#N/A</v>
      </c>
      <c r="M488" s="45"/>
      <c r="N488" s="41"/>
      <c r="R488" s="59"/>
      <c r="V488" s="53"/>
      <c r="W488" s="54"/>
    </row>
    <row r="489" spans="12:23">
      <c r="L489" s="41" t="e">
        <f>VLOOKUP(K489,WebPosting!$B$6:$B$561,1,FALSE)</f>
        <v>#N/A</v>
      </c>
      <c r="M489" s="45"/>
      <c r="N489" s="41"/>
      <c r="R489" s="59"/>
    </row>
    <row r="490" spans="12:23">
      <c r="L490" s="41" t="e">
        <f>VLOOKUP(K490,WebPosting!$B$6:$B$561,1,FALSE)</f>
        <v>#N/A</v>
      </c>
      <c r="M490" s="45"/>
      <c r="N490" s="41"/>
      <c r="R490" s="59"/>
    </row>
    <row r="491" spans="12:23">
      <c r="L491" s="41" t="e">
        <f>VLOOKUP(K491,WebPosting!$B$6:$B$561,1,FALSE)</f>
        <v>#N/A</v>
      </c>
      <c r="M491" s="45"/>
      <c r="N491" s="41"/>
      <c r="R491" s="59"/>
    </row>
    <row r="492" spans="12:23">
      <c r="L492" s="41" t="e">
        <f>VLOOKUP(K492,WebPosting!$B$6:$B$561,1,FALSE)</f>
        <v>#N/A</v>
      </c>
      <c r="M492" s="45"/>
      <c r="N492" s="41"/>
      <c r="R492" s="59"/>
      <c r="V492" s="53"/>
      <c r="W492" s="54"/>
    </row>
    <row r="493" spans="12:23">
      <c r="L493" s="41" t="e">
        <f>VLOOKUP(K493,WebPosting!$B$6:$B$561,1,FALSE)</f>
        <v>#N/A</v>
      </c>
      <c r="M493" s="45"/>
      <c r="N493" s="41"/>
      <c r="R493" s="59"/>
    </row>
    <row r="494" spans="12:23">
      <c r="L494" s="41" t="e">
        <f>VLOOKUP(K494,WebPosting!$B$6:$B$561,1,FALSE)</f>
        <v>#N/A</v>
      </c>
      <c r="M494" s="45"/>
      <c r="N494" s="41"/>
      <c r="R494" s="59"/>
      <c r="V494" s="53"/>
      <c r="W494" s="54"/>
    </row>
    <row r="495" spans="12:23">
      <c r="L495" s="41" t="e">
        <f>VLOOKUP(K495,WebPosting!$B$6:$B$561,1,FALSE)</f>
        <v>#N/A</v>
      </c>
      <c r="M495" s="45"/>
      <c r="N495" s="41"/>
      <c r="R495" s="59"/>
      <c r="V495" s="53"/>
      <c r="W495" s="54"/>
    </row>
    <row r="496" spans="12:23">
      <c r="L496" s="41" t="e">
        <f>VLOOKUP(K496,WebPosting!$B$6:$B$561,1,FALSE)</f>
        <v>#N/A</v>
      </c>
      <c r="M496" s="45"/>
      <c r="N496" s="41"/>
      <c r="R496" s="59"/>
      <c r="V496" s="53"/>
      <c r="W496" s="54"/>
    </row>
    <row r="497" spans="12:23">
      <c r="L497" s="41" t="e">
        <f>VLOOKUP(K497,WebPosting!$B$6:$B$561,1,FALSE)</f>
        <v>#N/A</v>
      </c>
      <c r="M497" s="45"/>
      <c r="N497" s="41"/>
      <c r="R497" s="59"/>
    </row>
    <row r="498" spans="12:23">
      <c r="L498" s="41" t="e">
        <f>VLOOKUP(K498,WebPosting!$B$6:$B$561,1,FALSE)</f>
        <v>#N/A</v>
      </c>
      <c r="M498" s="45"/>
      <c r="N498" s="41"/>
      <c r="R498" s="59"/>
    </row>
    <row r="499" spans="12:23">
      <c r="L499" s="41" t="e">
        <f>VLOOKUP(K499,WebPosting!$B$6:$B$561,1,FALSE)</f>
        <v>#N/A</v>
      </c>
      <c r="M499" s="45"/>
      <c r="N499" s="41"/>
      <c r="R499" s="59"/>
    </row>
    <row r="500" spans="12:23">
      <c r="L500" s="41" t="e">
        <f>VLOOKUP(K500,WebPosting!$B$6:$B$561,1,FALSE)</f>
        <v>#N/A</v>
      </c>
      <c r="M500" s="45"/>
      <c r="N500" s="41"/>
      <c r="R500" s="59"/>
      <c r="W500" s="54"/>
    </row>
    <row r="501" spans="12:23">
      <c r="L501" s="41" t="e">
        <f>VLOOKUP(K501,WebPosting!$B$6:$B$561,1,FALSE)</f>
        <v>#N/A</v>
      </c>
      <c r="M501" s="45"/>
      <c r="N501" s="41"/>
      <c r="R501" s="59"/>
    </row>
    <row r="502" spans="12:23">
      <c r="L502" s="41" t="e">
        <f>VLOOKUP(K502,WebPosting!$B$6:$B$561,1,FALSE)</f>
        <v>#N/A</v>
      </c>
      <c r="M502" s="45"/>
      <c r="N502" s="41"/>
      <c r="R502" s="59"/>
    </row>
    <row r="503" spans="12:23">
      <c r="L503" s="41" t="e">
        <f>VLOOKUP(K503,WebPosting!$B$6:$B$561,1,FALSE)</f>
        <v>#N/A</v>
      </c>
      <c r="M503" s="45"/>
      <c r="N503" s="41"/>
      <c r="R503" s="59"/>
    </row>
    <row r="504" spans="12:23">
      <c r="L504" s="41" t="e">
        <f>VLOOKUP(K504,WebPosting!$B$6:$B$561,1,FALSE)</f>
        <v>#N/A</v>
      </c>
      <c r="M504" s="45"/>
      <c r="N504" s="41"/>
      <c r="R504" s="59"/>
    </row>
    <row r="505" spans="12:23">
      <c r="L505" s="41" t="e">
        <f>VLOOKUP(K505,WebPosting!$B$6:$B$561,1,FALSE)</f>
        <v>#N/A</v>
      </c>
      <c r="M505" s="45"/>
      <c r="N505" s="41"/>
      <c r="R505" s="59"/>
    </row>
    <row r="506" spans="12:23">
      <c r="L506" s="41" t="e">
        <f>VLOOKUP(K506,WebPosting!$B$6:$B$561,1,FALSE)</f>
        <v>#N/A</v>
      </c>
      <c r="M506" s="45"/>
      <c r="N506" s="41"/>
      <c r="R506" s="59"/>
    </row>
    <row r="507" spans="12:23">
      <c r="L507" s="41" t="e">
        <f>VLOOKUP(K507,WebPosting!$B$6:$B$561,1,FALSE)</f>
        <v>#N/A</v>
      </c>
      <c r="M507" s="45"/>
      <c r="N507" s="41"/>
      <c r="R507" s="59"/>
      <c r="V507" s="53"/>
      <c r="W507" s="54"/>
    </row>
    <row r="508" spans="12:23">
      <c r="L508" s="41" t="e">
        <f>VLOOKUP(K508,WebPosting!$B$6:$B$561,1,FALSE)</f>
        <v>#N/A</v>
      </c>
      <c r="M508" s="45"/>
      <c r="N508" s="41"/>
      <c r="R508" s="59"/>
    </row>
    <row r="509" spans="12:23">
      <c r="L509" s="41" t="e">
        <f>VLOOKUP(K509,WebPosting!$B$6:$B$561,1,FALSE)</f>
        <v>#N/A</v>
      </c>
      <c r="M509" s="45"/>
      <c r="N509" s="41"/>
      <c r="R509" s="59"/>
    </row>
    <row r="510" spans="12:23">
      <c r="R510" s="59"/>
      <c r="V510" s="53"/>
      <c r="W510" s="54"/>
    </row>
    <row r="511" spans="12:23">
      <c r="R511" s="59"/>
      <c r="V511" s="53"/>
      <c r="W511" s="54"/>
    </row>
    <row r="512" spans="12:23">
      <c r="R512" s="59"/>
      <c r="V512" s="53"/>
      <c r="W512" s="54"/>
    </row>
    <row r="513" spans="18:23">
      <c r="R513" s="59"/>
      <c r="V513" s="53"/>
      <c r="W513" s="54"/>
    </row>
    <row r="514" spans="18:23">
      <c r="R514" s="59"/>
      <c r="W514" s="54"/>
    </row>
    <row r="515" spans="18:23">
      <c r="R515" s="59"/>
      <c r="V515" s="53"/>
      <c r="W515" s="54"/>
    </row>
    <row r="516" spans="18:23">
      <c r="R516" s="59"/>
      <c r="W516" s="54"/>
    </row>
    <row r="517" spans="18:23">
      <c r="R517" s="59"/>
      <c r="V517" s="53"/>
      <c r="W517" s="54"/>
    </row>
    <row r="518" spans="18:23">
      <c r="R518" s="59"/>
      <c r="V518" s="53"/>
      <c r="W518" s="54"/>
    </row>
    <row r="519" spans="18:23">
      <c r="R519" s="59"/>
      <c r="V519" s="53"/>
      <c r="W519" s="54"/>
    </row>
    <row r="520" spans="18:23">
      <c r="R520" s="59"/>
      <c r="V520" s="53"/>
      <c r="W520" s="54"/>
    </row>
    <row r="521" spans="18:23">
      <c r="R521" s="59"/>
      <c r="V521" s="53"/>
      <c r="W521" s="54"/>
    </row>
    <row r="522" spans="18:23">
      <c r="R522" s="59"/>
      <c r="W522" s="54"/>
    </row>
    <row r="523" spans="18:23">
      <c r="R523" s="59"/>
      <c r="V523" s="53"/>
      <c r="W523" s="54"/>
    </row>
    <row r="524" spans="18:23">
      <c r="R524" s="59"/>
      <c r="V524" s="53"/>
      <c r="W524" s="54"/>
    </row>
    <row r="525" spans="18:23">
      <c r="R525" s="59"/>
    </row>
    <row r="526" spans="18:23">
      <c r="R526" s="59"/>
      <c r="W526" s="54"/>
    </row>
    <row r="527" spans="18:23">
      <c r="R527" s="59"/>
      <c r="V527" s="53"/>
      <c r="W527" s="54"/>
    </row>
    <row r="528" spans="18:23">
      <c r="R528" s="59"/>
      <c r="V528" s="53"/>
      <c r="W528" s="54"/>
    </row>
  </sheetData>
  <sortState ref="A3:AC403">
    <sortCondition ref="C3:C403"/>
    <sortCondition descending="1" ref="O3:O403"/>
  </sortState>
  <phoneticPr fontId="152" type="noConversion"/>
  <conditionalFormatting sqref="U330:U376">
    <cfRule type="cellIs" dxfId="0" priority="1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7"/>
  <sheetViews>
    <sheetView zoomScaleNormal="100" workbookViewId="0">
      <pane ySplit="1" topLeftCell="A2" activePane="bottomLeft" state="frozen"/>
      <selection pane="bottomLeft" activeCell="S1" sqref="S1"/>
    </sheetView>
  </sheetViews>
  <sheetFormatPr defaultColWidth="9.28515625" defaultRowHeight="12.75"/>
  <cols>
    <col min="1" max="1" width="4" style="48" bestFit="1" customWidth="1"/>
    <col min="2" max="2" width="2.140625" style="48" bestFit="1" customWidth="1"/>
    <col min="3" max="3" width="6" style="48" bestFit="1" customWidth="1"/>
    <col min="4" max="4" width="46.5703125" style="48" bestFit="1" customWidth="1"/>
    <col min="5" max="5" width="40" style="48" bestFit="1" customWidth="1"/>
    <col min="6" max="6" width="17.28515625" style="48" bestFit="1" customWidth="1"/>
    <col min="7" max="7" width="10" style="48" bestFit="1" customWidth="1"/>
    <col min="8" max="8" width="9" style="48" bestFit="1" customWidth="1"/>
    <col min="9" max="9" width="4" style="48" bestFit="1" customWidth="1"/>
    <col min="10" max="10" width="3.42578125" style="48" bestFit="1" customWidth="1"/>
    <col min="11" max="11" width="4" style="48" bestFit="1" customWidth="1"/>
    <col min="12" max="12" width="3" style="48" bestFit="1" customWidth="1"/>
    <col min="13" max="13" width="4" style="48" bestFit="1" customWidth="1"/>
    <col min="14" max="14" width="13.42578125" style="48" bestFit="1" customWidth="1"/>
    <col min="15" max="15" width="12" style="48" bestFit="1" customWidth="1"/>
    <col min="16" max="16" width="10.7109375" style="48" bestFit="1" customWidth="1"/>
    <col min="17" max="17" width="7" style="48" bestFit="1" customWidth="1"/>
    <col min="18" max="18" width="10.7109375" style="48" bestFit="1" customWidth="1"/>
    <col min="19" max="19" width="15" style="48" bestFit="1" customWidth="1"/>
    <col min="20" max="20" width="2" style="48" bestFit="1" customWidth="1"/>
    <col min="21" max="21" width="23.42578125" style="48" bestFit="1" customWidth="1"/>
    <col min="22" max="22" width="3" style="48" bestFit="1" customWidth="1"/>
    <col min="23" max="23" width="30" style="48" bestFit="1" customWidth="1"/>
    <col min="24" max="24" width="4" style="48" bestFit="1" customWidth="1"/>
    <col min="25" max="25" width="27.5703125" style="48" bestFit="1" customWidth="1"/>
    <col min="26" max="26" width="3.28515625" style="382" customWidth="1"/>
    <col min="27" max="27" width="13.7109375" style="387" customWidth="1"/>
    <col min="28" max="16384" width="9.28515625" style="48"/>
  </cols>
  <sheetData>
    <row r="1" spans="1:27" ht="38.25">
      <c r="A1" s="52" t="s">
        <v>131</v>
      </c>
      <c r="E1" s="52"/>
      <c r="P1" s="49" t="s">
        <v>70</v>
      </c>
      <c r="R1" s="50" t="s">
        <v>71</v>
      </c>
      <c r="S1" s="50">
        <f>SUM($S$2:$S$2249)</f>
        <v>102572257</v>
      </c>
      <c r="AA1" s="385" t="s">
        <v>129</v>
      </c>
    </row>
    <row r="2" spans="1:27" ht="15">
      <c r="A2" s="420">
        <v>235</v>
      </c>
      <c r="B2" s="420" t="s">
        <v>133</v>
      </c>
      <c r="C2" s="420">
        <v>32850</v>
      </c>
      <c r="D2" s="420" t="s">
        <v>151</v>
      </c>
      <c r="E2" s="420" t="s">
        <v>152</v>
      </c>
      <c r="F2" s="420" t="s">
        <v>153</v>
      </c>
      <c r="G2" s="420" t="s">
        <v>137</v>
      </c>
      <c r="H2" s="420">
        <v>62960000</v>
      </c>
      <c r="I2" s="420">
        <v>206</v>
      </c>
      <c r="J2" s="420" t="s">
        <v>138</v>
      </c>
      <c r="K2" s="420">
        <v>118</v>
      </c>
      <c r="L2" s="420">
        <v>59</v>
      </c>
      <c r="M2" s="420">
        <v>61</v>
      </c>
      <c r="N2" s="420" t="s">
        <v>154</v>
      </c>
      <c r="O2" s="420">
        <v>321691000</v>
      </c>
      <c r="P2" s="421">
        <v>41746</v>
      </c>
      <c r="Q2" s="420">
        <v>5.4000000000000003E-3</v>
      </c>
      <c r="R2" s="421">
        <v>42842</v>
      </c>
      <c r="S2" s="420">
        <v>146000</v>
      </c>
      <c r="T2" s="420">
        <v>2</v>
      </c>
      <c r="U2" s="420" t="s">
        <v>140</v>
      </c>
      <c r="V2" s="420">
        <v>1</v>
      </c>
      <c r="W2" s="420" t="s">
        <v>141</v>
      </c>
      <c r="X2" s="420">
        <v>729</v>
      </c>
      <c r="Y2" s="420" t="s">
        <v>155</v>
      </c>
      <c r="Z2" s="383"/>
      <c r="AA2" s="386">
        <f t="shared" ref="AA2:AA62" si="0">(S2*Q2%)</f>
        <v>7.8840000000000003</v>
      </c>
    </row>
    <row r="3" spans="1:27" ht="15">
      <c r="A3" s="420">
        <v>676</v>
      </c>
      <c r="B3" s="420" t="s">
        <v>133</v>
      </c>
      <c r="C3" s="420">
        <v>25357</v>
      </c>
      <c r="D3" s="420" t="s">
        <v>147</v>
      </c>
      <c r="E3" s="420" t="s">
        <v>148</v>
      </c>
      <c r="F3" s="420" t="s">
        <v>149</v>
      </c>
      <c r="G3" s="420" t="s">
        <v>137</v>
      </c>
      <c r="H3" s="420">
        <v>61043000</v>
      </c>
      <c r="I3" s="420">
        <v>112</v>
      </c>
      <c r="J3" s="420" t="s">
        <v>138</v>
      </c>
      <c r="K3" s="420">
        <v>70</v>
      </c>
      <c r="L3" s="420">
        <v>35</v>
      </c>
      <c r="M3" s="420">
        <v>71</v>
      </c>
      <c r="N3" s="420" t="s">
        <v>150</v>
      </c>
      <c r="O3" s="420">
        <v>162221000</v>
      </c>
      <c r="P3" s="421">
        <v>41747</v>
      </c>
      <c r="Q3" s="420">
        <v>5.4000000000000003E-3</v>
      </c>
      <c r="R3" s="421">
        <v>42843</v>
      </c>
      <c r="S3" s="420">
        <v>24000</v>
      </c>
      <c r="T3" s="420">
        <v>2</v>
      </c>
      <c r="U3" s="420" t="s">
        <v>140</v>
      </c>
      <c r="V3" s="420">
        <v>1</v>
      </c>
      <c r="W3" s="420" t="s">
        <v>141</v>
      </c>
      <c r="X3" s="420">
        <v>430</v>
      </c>
      <c r="Y3" s="420" t="s">
        <v>142</v>
      </c>
      <c r="Z3" s="383"/>
      <c r="AA3" s="386">
        <f t="shared" si="0"/>
        <v>1.296</v>
      </c>
    </row>
    <row r="4" spans="1:27" ht="15">
      <c r="A4" s="420">
        <v>364</v>
      </c>
      <c r="B4" s="420" t="s">
        <v>133</v>
      </c>
      <c r="C4" s="420">
        <v>7054</v>
      </c>
      <c r="D4" s="420" t="s">
        <v>134</v>
      </c>
      <c r="E4" s="420" t="s">
        <v>135</v>
      </c>
      <c r="F4" s="420" t="s">
        <v>136</v>
      </c>
      <c r="G4" s="420" t="s">
        <v>137</v>
      </c>
      <c r="H4" s="420">
        <v>62016000</v>
      </c>
      <c r="I4" s="420">
        <v>203</v>
      </c>
      <c r="J4" s="420" t="s">
        <v>138</v>
      </c>
      <c r="K4" s="420">
        <v>97</v>
      </c>
      <c r="L4" s="420">
        <v>49</v>
      </c>
      <c r="M4" s="420">
        <v>31</v>
      </c>
      <c r="N4" s="420" t="s">
        <v>139</v>
      </c>
      <c r="O4" s="420">
        <v>1214837000</v>
      </c>
      <c r="P4" s="421">
        <v>41795</v>
      </c>
      <c r="Q4" s="420">
        <v>5.3E-3</v>
      </c>
      <c r="R4" s="421">
        <v>42891</v>
      </c>
      <c r="S4" s="420">
        <v>16000</v>
      </c>
      <c r="T4" s="420">
        <v>2</v>
      </c>
      <c r="U4" s="420" t="s">
        <v>140</v>
      </c>
      <c r="V4" s="420">
        <v>1</v>
      </c>
      <c r="W4" s="420" t="s">
        <v>141</v>
      </c>
      <c r="X4" s="420">
        <v>430</v>
      </c>
      <c r="Y4" s="420" t="s">
        <v>142</v>
      </c>
      <c r="Z4" s="383"/>
      <c r="AA4" s="386">
        <f t="shared" si="0"/>
        <v>0.84799999999999998</v>
      </c>
    </row>
    <row r="5" spans="1:27" ht="15">
      <c r="A5" s="420">
        <v>363</v>
      </c>
      <c r="B5" s="420" t="s">
        <v>133</v>
      </c>
      <c r="C5" s="420">
        <v>7054</v>
      </c>
      <c r="D5" s="420" t="s">
        <v>134</v>
      </c>
      <c r="E5" s="420" t="s">
        <v>135</v>
      </c>
      <c r="F5" s="420" t="s">
        <v>136</v>
      </c>
      <c r="G5" s="420" t="s">
        <v>137</v>
      </c>
      <c r="H5" s="420">
        <v>62016000</v>
      </c>
      <c r="I5" s="420">
        <v>203</v>
      </c>
      <c r="J5" s="420" t="s">
        <v>138</v>
      </c>
      <c r="K5" s="420">
        <v>97</v>
      </c>
      <c r="L5" s="420">
        <v>49</v>
      </c>
      <c r="M5" s="420">
        <v>31</v>
      </c>
      <c r="N5" s="420" t="s">
        <v>139</v>
      </c>
      <c r="O5" s="420">
        <v>1214837000</v>
      </c>
      <c r="P5" s="421">
        <v>41831</v>
      </c>
      <c r="Q5" s="420">
        <v>5.1999999999999998E-3</v>
      </c>
      <c r="R5" s="421">
        <v>42927</v>
      </c>
      <c r="S5" s="420">
        <v>50000</v>
      </c>
      <c r="T5" s="420">
        <v>2</v>
      </c>
      <c r="U5" s="420" t="s">
        <v>140</v>
      </c>
      <c r="V5" s="420">
        <v>1</v>
      </c>
      <c r="W5" s="420" t="s">
        <v>141</v>
      </c>
      <c r="X5" s="420">
        <v>430</v>
      </c>
      <c r="Y5" s="420" t="s">
        <v>142</v>
      </c>
      <c r="Z5" s="383"/>
      <c r="AA5" s="386">
        <f t="shared" si="0"/>
        <v>2.5999999999999996</v>
      </c>
    </row>
    <row r="6" spans="1:27" ht="15">
      <c r="A6" s="420">
        <v>362</v>
      </c>
      <c r="B6" s="420" t="s">
        <v>133</v>
      </c>
      <c r="C6" s="420">
        <v>7054</v>
      </c>
      <c r="D6" s="420" t="s">
        <v>134</v>
      </c>
      <c r="E6" s="420" t="s">
        <v>135</v>
      </c>
      <c r="F6" s="420" t="s">
        <v>136</v>
      </c>
      <c r="G6" s="420" t="s">
        <v>137</v>
      </c>
      <c r="H6" s="420">
        <v>62016000</v>
      </c>
      <c r="I6" s="420">
        <v>203</v>
      </c>
      <c r="J6" s="420" t="s">
        <v>138</v>
      </c>
      <c r="K6" s="420">
        <v>97</v>
      </c>
      <c r="L6" s="420">
        <v>49</v>
      </c>
      <c r="M6" s="420">
        <v>31</v>
      </c>
      <c r="N6" s="420" t="s">
        <v>139</v>
      </c>
      <c r="O6" s="420">
        <v>1214837000</v>
      </c>
      <c r="P6" s="421">
        <v>41844</v>
      </c>
      <c r="Q6" s="420">
        <v>5.1999999999999998E-3</v>
      </c>
      <c r="R6" s="421">
        <v>42940</v>
      </c>
      <c r="S6" s="420">
        <v>39500</v>
      </c>
      <c r="T6" s="420">
        <v>2</v>
      </c>
      <c r="U6" s="420" t="s">
        <v>140</v>
      </c>
      <c r="V6" s="420">
        <v>1</v>
      </c>
      <c r="W6" s="420" t="s">
        <v>141</v>
      </c>
      <c r="X6" s="420">
        <v>430</v>
      </c>
      <c r="Y6" s="420" t="s">
        <v>142</v>
      </c>
      <c r="Z6" s="383"/>
      <c r="AA6" s="386">
        <f t="shared" si="0"/>
        <v>2.0539999999999998</v>
      </c>
    </row>
    <row r="7" spans="1:27" ht="15">
      <c r="A7" s="420">
        <v>361</v>
      </c>
      <c r="B7" s="420" t="s">
        <v>133</v>
      </c>
      <c r="C7" s="420">
        <v>7054</v>
      </c>
      <c r="D7" s="420" t="s">
        <v>134</v>
      </c>
      <c r="E7" s="420" t="s">
        <v>135</v>
      </c>
      <c r="F7" s="420" t="s">
        <v>136</v>
      </c>
      <c r="G7" s="420" t="s">
        <v>137</v>
      </c>
      <c r="H7" s="420">
        <v>62016000</v>
      </c>
      <c r="I7" s="420">
        <v>203</v>
      </c>
      <c r="J7" s="420" t="s">
        <v>138</v>
      </c>
      <c r="K7" s="420">
        <v>97</v>
      </c>
      <c r="L7" s="420">
        <v>49</v>
      </c>
      <c r="M7" s="420">
        <v>31</v>
      </c>
      <c r="N7" s="420" t="s">
        <v>139</v>
      </c>
      <c r="O7" s="420">
        <v>1214837000</v>
      </c>
      <c r="P7" s="421">
        <v>41859</v>
      </c>
      <c r="Q7" s="420">
        <v>5.1999999999999998E-3</v>
      </c>
      <c r="R7" s="421">
        <v>42955</v>
      </c>
      <c r="S7" s="420">
        <v>30500</v>
      </c>
      <c r="T7" s="420">
        <v>2</v>
      </c>
      <c r="U7" s="420" t="s">
        <v>140</v>
      </c>
      <c r="V7" s="420">
        <v>1</v>
      </c>
      <c r="W7" s="420" t="s">
        <v>141</v>
      </c>
      <c r="X7" s="420">
        <v>430</v>
      </c>
      <c r="Y7" s="420" t="s">
        <v>142</v>
      </c>
      <c r="Z7" s="383"/>
      <c r="AA7" s="386">
        <f t="shared" si="0"/>
        <v>1.5859999999999999</v>
      </c>
    </row>
    <row r="8" spans="1:27" ht="15">
      <c r="A8" s="420">
        <v>587</v>
      </c>
      <c r="B8" s="420" t="s">
        <v>133</v>
      </c>
      <c r="C8" s="420">
        <v>28853</v>
      </c>
      <c r="D8" s="420" t="s">
        <v>143</v>
      </c>
      <c r="E8" s="420" t="s">
        <v>144</v>
      </c>
      <c r="F8" s="420" t="s">
        <v>145</v>
      </c>
      <c r="G8" s="420" t="s">
        <v>137</v>
      </c>
      <c r="H8" s="420">
        <v>61048000</v>
      </c>
      <c r="I8" s="420">
        <v>233</v>
      </c>
      <c r="J8" s="420" t="s">
        <v>138</v>
      </c>
      <c r="K8" s="420">
        <v>74</v>
      </c>
      <c r="L8" s="420">
        <v>37</v>
      </c>
      <c r="M8" s="420">
        <v>89</v>
      </c>
      <c r="N8" s="420" t="s">
        <v>146</v>
      </c>
      <c r="O8" s="420">
        <v>207658000</v>
      </c>
      <c r="P8" s="421">
        <v>41871</v>
      </c>
      <c r="Q8" s="420">
        <v>5.1999999999999998E-3</v>
      </c>
      <c r="R8" s="421">
        <v>42965</v>
      </c>
      <c r="S8" s="420">
        <v>21550</v>
      </c>
      <c r="T8" s="420">
        <v>2</v>
      </c>
      <c r="U8" s="420" t="s">
        <v>140</v>
      </c>
      <c r="V8" s="420">
        <v>1</v>
      </c>
      <c r="W8" s="420" t="s">
        <v>141</v>
      </c>
      <c r="X8" s="420">
        <v>430</v>
      </c>
      <c r="Y8" s="420" t="s">
        <v>142</v>
      </c>
      <c r="Z8" s="383"/>
      <c r="AA8" s="386">
        <f t="shared" si="0"/>
        <v>1.1206</v>
      </c>
    </row>
    <row r="9" spans="1:27" ht="15">
      <c r="A9" s="420">
        <v>588</v>
      </c>
      <c r="B9" s="420" t="s">
        <v>133</v>
      </c>
      <c r="C9" s="420">
        <v>28853</v>
      </c>
      <c r="D9" s="420" t="s">
        <v>143</v>
      </c>
      <c r="E9" s="420" t="s">
        <v>144</v>
      </c>
      <c r="F9" s="420" t="s">
        <v>145</v>
      </c>
      <c r="G9" s="420" t="s">
        <v>137</v>
      </c>
      <c r="H9" s="420">
        <v>61048000</v>
      </c>
      <c r="I9" s="420">
        <v>233</v>
      </c>
      <c r="J9" s="420" t="s">
        <v>138</v>
      </c>
      <c r="K9" s="420">
        <v>74</v>
      </c>
      <c r="L9" s="420">
        <v>37</v>
      </c>
      <c r="M9" s="420">
        <v>89</v>
      </c>
      <c r="N9" s="420" t="s">
        <v>146</v>
      </c>
      <c r="O9" s="420">
        <v>207658000</v>
      </c>
      <c r="P9" s="421">
        <v>41871</v>
      </c>
      <c r="Q9" s="420">
        <v>5.1999999999999998E-3</v>
      </c>
      <c r="R9" s="421">
        <v>42965</v>
      </c>
      <c r="S9" s="420">
        <v>14300</v>
      </c>
      <c r="T9" s="420">
        <v>2</v>
      </c>
      <c r="U9" s="420" t="s">
        <v>140</v>
      </c>
      <c r="V9" s="420">
        <v>1</v>
      </c>
      <c r="W9" s="420" t="s">
        <v>141</v>
      </c>
      <c r="X9" s="420">
        <v>430</v>
      </c>
      <c r="Y9" s="420" t="s">
        <v>142</v>
      </c>
      <c r="Z9" s="383"/>
      <c r="AA9" s="386">
        <f t="shared" si="0"/>
        <v>0.74359999999999993</v>
      </c>
    </row>
    <row r="10" spans="1:27" ht="15">
      <c r="A10" s="420">
        <v>589</v>
      </c>
      <c r="B10" s="420" t="s">
        <v>133</v>
      </c>
      <c r="C10" s="420">
        <v>28853</v>
      </c>
      <c r="D10" s="420" t="s">
        <v>143</v>
      </c>
      <c r="E10" s="420" t="s">
        <v>144</v>
      </c>
      <c r="F10" s="420" t="s">
        <v>145</v>
      </c>
      <c r="G10" s="420" t="s">
        <v>137</v>
      </c>
      <c r="H10" s="420">
        <v>61048000</v>
      </c>
      <c r="I10" s="420">
        <v>233</v>
      </c>
      <c r="J10" s="420" t="s">
        <v>138</v>
      </c>
      <c r="K10" s="420">
        <v>74</v>
      </c>
      <c r="L10" s="420">
        <v>37</v>
      </c>
      <c r="M10" s="420">
        <v>89</v>
      </c>
      <c r="N10" s="420" t="s">
        <v>146</v>
      </c>
      <c r="O10" s="420">
        <v>207658000</v>
      </c>
      <c r="P10" s="421">
        <v>41871</v>
      </c>
      <c r="Q10" s="420">
        <v>5.1999999999999998E-3</v>
      </c>
      <c r="R10" s="421">
        <v>42965</v>
      </c>
      <c r="S10" s="420">
        <v>18000</v>
      </c>
      <c r="T10" s="420">
        <v>2</v>
      </c>
      <c r="U10" s="420" t="s">
        <v>140</v>
      </c>
      <c r="V10" s="420">
        <v>1</v>
      </c>
      <c r="W10" s="420" t="s">
        <v>141</v>
      </c>
      <c r="X10" s="420">
        <v>430</v>
      </c>
      <c r="Y10" s="420" t="s">
        <v>142</v>
      </c>
      <c r="Z10" s="383"/>
      <c r="AA10" s="386">
        <f t="shared" si="0"/>
        <v>0.93599999999999994</v>
      </c>
    </row>
    <row r="11" spans="1:27" ht="15">
      <c r="A11" s="420">
        <v>628</v>
      </c>
      <c r="B11" s="420" t="s">
        <v>133</v>
      </c>
      <c r="C11" s="420">
        <v>33101</v>
      </c>
      <c r="D11" s="420" t="s">
        <v>156</v>
      </c>
      <c r="E11" s="420" t="s">
        <v>157</v>
      </c>
      <c r="F11" s="420" t="s">
        <v>158</v>
      </c>
      <c r="G11" s="420" t="s">
        <v>137</v>
      </c>
      <c r="H11" s="420">
        <v>61231000</v>
      </c>
      <c r="I11" s="420">
        <v>211</v>
      </c>
      <c r="J11" s="420" t="s">
        <v>138</v>
      </c>
      <c r="K11" s="420">
        <v>72</v>
      </c>
      <c r="L11" s="420">
        <v>36</v>
      </c>
      <c r="M11" s="420">
        <v>81</v>
      </c>
      <c r="N11" s="420" t="s">
        <v>159</v>
      </c>
      <c r="O11" s="420">
        <v>988505000</v>
      </c>
      <c r="P11" s="421">
        <v>41877</v>
      </c>
      <c r="Q11" s="420">
        <v>5.1999999999999998E-3</v>
      </c>
      <c r="R11" s="421">
        <v>42972</v>
      </c>
      <c r="S11" s="420">
        <v>138239</v>
      </c>
      <c r="T11" s="420">
        <v>2</v>
      </c>
      <c r="U11" s="420" t="s">
        <v>140</v>
      </c>
      <c r="V11" s="420">
        <v>1</v>
      </c>
      <c r="W11" s="420" t="s">
        <v>141</v>
      </c>
      <c r="X11" s="420">
        <v>430</v>
      </c>
      <c r="Y11" s="420" t="s">
        <v>142</v>
      </c>
      <c r="Z11" s="383"/>
      <c r="AA11" s="386">
        <f t="shared" si="0"/>
        <v>7.1884279999999992</v>
      </c>
    </row>
    <row r="12" spans="1:27" ht="15">
      <c r="A12" s="420">
        <v>360</v>
      </c>
      <c r="B12" s="420" t="s">
        <v>133</v>
      </c>
      <c r="C12" s="420">
        <v>7054</v>
      </c>
      <c r="D12" s="420" t="s">
        <v>134</v>
      </c>
      <c r="E12" s="420" t="s">
        <v>135</v>
      </c>
      <c r="F12" s="420" t="s">
        <v>136</v>
      </c>
      <c r="G12" s="420" t="s">
        <v>137</v>
      </c>
      <c r="H12" s="420">
        <v>62016000</v>
      </c>
      <c r="I12" s="420">
        <v>203</v>
      </c>
      <c r="J12" s="420" t="s">
        <v>138</v>
      </c>
      <c r="K12" s="420">
        <v>97</v>
      </c>
      <c r="L12" s="420">
        <v>49</v>
      </c>
      <c r="M12" s="420">
        <v>31</v>
      </c>
      <c r="N12" s="420" t="s">
        <v>139</v>
      </c>
      <c r="O12" s="420">
        <v>1214837000</v>
      </c>
      <c r="P12" s="421">
        <v>41887</v>
      </c>
      <c r="Q12" s="420">
        <v>5.1999999999999998E-3</v>
      </c>
      <c r="R12" s="421">
        <v>42983</v>
      </c>
      <c r="S12" s="420">
        <v>12530</v>
      </c>
      <c r="T12" s="420">
        <v>2</v>
      </c>
      <c r="U12" s="420" t="s">
        <v>140</v>
      </c>
      <c r="V12" s="420">
        <v>1</v>
      </c>
      <c r="W12" s="420" t="s">
        <v>141</v>
      </c>
      <c r="X12" s="420">
        <v>430</v>
      </c>
      <c r="Y12" s="420" t="s">
        <v>142</v>
      </c>
      <c r="Z12" s="383"/>
      <c r="AA12" s="386">
        <f t="shared" si="0"/>
        <v>0.65155999999999992</v>
      </c>
    </row>
    <row r="13" spans="1:27" ht="15">
      <c r="A13" s="420">
        <v>586</v>
      </c>
      <c r="B13" s="420" t="s">
        <v>133</v>
      </c>
      <c r="C13" s="420">
        <v>28853</v>
      </c>
      <c r="D13" s="420" t="s">
        <v>143</v>
      </c>
      <c r="E13" s="420" t="s">
        <v>144</v>
      </c>
      <c r="F13" s="420" t="s">
        <v>145</v>
      </c>
      <c r="G13" s="420" t="s">
        <v>137</v>
      </c>
      <c r="H13" s="420">
        <v>61048000</v>
      </c>
      <c r="I13" s="420">
        <v>233</v>
      </c>
      <c r="J13" s="420" t="s">
        <v>138</v>
      </c>
      <c r="K13" s="420">
        <v>74</v>
      </c>
      <c r="L13" s="420">
        <v>37</v>
      </c>
      <c r="M13" s="420">
        <v>89</v>
      </c>
      <c r="N13" s="420" t="s">
        <v>146</v>
      </c>
      <c r="O13" s="420">
        <v>207658000</v>
      </c>
      <c r="P13" s="421">
        <v>41978</v>
      </c>
      <c r="Q13" s="420">
        <v>5.4999999999999997E-3</v>
      </c>
      <c r="R13" s="421">
        <v>43074</v>
      </c>
      <c r="S13" s="420">
        <v>126759</v>
      </c>
      <c r="T13" s="420">
        <v>2</v>
      </c>
      <c r="U13" s="420" t="s">
        <v>140</v>
      </c>
      <c r="V13" s="420">
        <v>1</v>
      </c>
      <c r="W13" s="420" t="s">
        <v>141</v>
      </c>
      <c r="X13" s="420">
        <v>430</v>
      </c>
      <c r="Y13" s="420" t="s">
        <v>142</v>
      </c>
      <c r="Z13" s="383"/>
      <c r="AA13" s="386">
        <f t="shared" si="0"/>
        <v>6.9717449999999994</v>
      </c>
    </row>
    <row r="14" spans="1:27" ht="15">
      <c r="A14" s="420">
        <v>359</v>
      </c>
      <c r="B14" s="420" t="s">
        <v>133</v>
      </c>
      <c r="C14" s="420">
        <v>7054</v>
      </c>
      <c r="D14" s="420" t="s">
        <v>134</v>
      </c>
      <c r="E14" s="420" t="s">
        <v>135</v>
      </c>
      <c r="F14" s="420" t="s">
        <v>136</v>
      </c>
      <c r="G14" s="420" t="s">
        <v>137</v>
      </c>
      <c r="H14" s="420">
        <v>62016000</v>
      </c>
      <c r="I14" s="420">
        <v>203</v>
      </c>
      <c r="J14" s="420" t="s">
        <v>138</v>
      </c>
      <c r="K14" s="420">
        <v>97</v>
      </c>
      <c r="L14" s="420">
        <v>49</v>
      </c>
      <c r="M14" s="420">
        <v>31</v>
      </c>
      <c r="N14" s="420" t="s">
        <v>139</v>
      </c>
      <c r="O14" s="420">
        <v>1214837000</v>
      </c>
      <c r="P14" s="421">
        <v>41985</v>
      </c>
      <c r="Q14" s="420">
        <v>5.4999999999999997E-3</v>
      </c>
      <c r="R14" s="421">
        <v>43081</v>
      </c>
      <c r="S14" s="420">
        <v>52000</v>
      </c>
      <c r="T14" s="420">
        <v>2</v>
      </c>
      <c r="U14" s="420" t="s">
        <v>140</v>
      </c>
      <c r="V14" s="420">
        <v>1</v>
      </c>
      <c r="W14" s="420" t="s">
        <v>141</v>
      </c>
      <c r="X14" s="420">
        <v>430</v>
      </c>
      <c r="Y14" s="420" t="s">
        <v>142</v>
      </c>
      <c r="Z14" s="383"/>
      <c r="AA14" s="386">
        <f t="shared" si="0"/>
        <v>2.86</v>
      </c>
    </row>
    <row r="15" spans="1:27" ht="15">
      <c r="A15" s="420">
        <v>365</v>
      </c>
      <c r="B15" s="420" t="s">
        <v>133</v>
      </c>
      <c r="C15" s="420">
        <v>7054</v>
      </c>
      <c r="D15" s="420" t="s">
        <v>134</v>
      </c>
      <c r="E15" s="420" t="s">
        <v>135</v>
      </c>
      <c r="F15" s="420" t="s">
        <v>136</v>
      </c>
      <c r="G15" s="420" t="s">
        <v>137</v>
      </c>
      <c r="H15" s="420">
        <v>62016000</v>
      </c>
      <c r="I15" s="420">
        <v>203</v>
      </c>
      <c r="J15" s="420" t="s">
        <v>138</v>
      </c>
      <c r="K15" s="420">
        <v>97</v>
      </c>
      <c r="L15" s="420">
        <v>49</v>
      </c>
      <c r="M15" s="420">
        <v>31</v>
      </c>
      <c r="N15" s="420" t="s">
        <v>139</v>
      </c>
      <c r="O15" s="420">
        <v>1214837000</v>
      </c>
      <c r="P15" s="421">
        <v>42027</v>
      </c>
      <c r="Q15" s="420">
        <v>5.4999999999999997E-3</v>
      </c>
      <c r="R15" s="421">
        <v>43123</v>
      </c>
      <c r="S15" s="420">
        <v>200000</v>
      </c>
      <c r="T15" s="420">
        <v>2</v>
      </c>
      <c r="U15" s="420" t="s">
        <v>140</v>
      </c>
      <c r="V15" s="420">
        <v>1</v>
      </c>
      <c r="W15" s="420" t="s">
        <v>141</v>
      </c>
      <c r="X15" s="420">
        <v>430</v>
      </c>
      <c r="Y15" s="420" t="s">
        <v>142</v>
      </c>
      <c r="Z15" s="383"/>
      <c r="AA15" s="386">
        <f t="shared" si="0"/>
        <v>10.999999999999998</v>
      </c>
    </row>
    <row r="16" spans="1:27" ht="15">
      <c r="A16" s="420">
        <v>677</v>
      </c>
      <c r="B16" s="420" t="s">
        <v>133</v>
      </c>
      <c r="C16" s="420">
        <v>25357</v>
      </c>
      <c r="D16" s="420" t="s">
        <v>147</v>
      </c>
      <c r="E16" s="420" t="s">
        <v>148</v>
      </c>
      <c r="F16" s="420" t="s">
        <v>149</v>
      </c>
      <c r="G16" s="420" t="s">
        <v>137</v>
      </c>
      <c r="H16" s="420">
        <v>61043000</v>
      </c>
      <c r="I16" s="420">
        <v>112</v>
      </c>
      <c r="J16" s="420" t="s">
        <v>138</v>
      </c>
      <c r="K16" s="420">
        <v>70</v>
      </c>
      <c r="L16" s="420">
        <v>35</v>
      </c>
      <c r="M16" s="420">
        <v>71</v>
      </c>
      <c r="N16" s="420" t="s">
        <v>150</v>
      </c>
      <c r="O16" s="420">
        <v>162221000</v>
      </c>
      <c r="P16" s="421">
        <v>42054</v>
      </c>
      <c r="Q16" s="420">
        <v>5.4999999999999997E-3</v>
      </c>
      <c r="R16" s="421">
        <v>43147</v>
      </c>
      <c r="S16" s="420">
        <v>55000</v>
      </c>
      <c r="T16" s="420">
        <v>2</v>
      </c>
      <c r="U16" s="420" t="s">
        <v>140</v>
      </c>
      <c r="V16" s="420">
        <v>1</v>
      </c>
      <c r="W16" s="420" t="s">
        <v>141</v>
      </c>
      <c r="X16" s="420">
        <v>430</v>
      </c>
      <c r="Y16" s="420" t="s">
        <v>142</v>
      </c>
      <c r="Z16" s="383"/>
      <c r="AA16" s="386">
        <f t="shared" si="0"/>
        <v>3.0249999999999999</v>
      </c>
    </row>
    <row r="17" spans="1:27" ht="15">
      <c r="A17" s="420">
        <v>678</v>
      </c>
      <c r="B17" s="420" t="s">
        <v>133</v>
      </c>
      <c r="C17" s="420">
        <v>25357</v>
      </c>
      <c r="D17" s="420" t="s">
        <v>147</v>
      </c>
      <c r="E17" s="420" t="s">
        <v>148</v>
      </c>
      <c r="F17" s="420" t="s">
        <v>149</v>
      </c>
      <c r="G17" s="420" t="s">
        <v>137</v>
      </c>
      <c r="H17" s="420">
        <v>61043000</v>
      </c>
      <c r="I17" s="420">
        <v>112</v>
      </c>
      <c r="J17" s="420" t="s">
        <v>138</v>
      </c>
      <c r="K17" s="420">
        <v>70</v>
      </c>
      <c r="L17" s="420">
        <v>35</v>
      </c>
      <c r="M17" s="420">
        <v>71</v>
      </c>
      <c r="N17" s="420" t="s">
        <v>150</v>
      </c>
      <c r="O17" s="420">
        <v>162221000</v>
      </c>
      <c r="P17" s="421">
        <v>42055</v>
      </c>
      <c r="Q17" s="420">
        <v>5.4999999999999997E-3</v>
      </c>
      <c r="R17" s="421">
        <v>43151</v>
      </c>
      <c r="S17" s="420">
        <v>17000</v>
      </c>
      <c r="T17" s="420">
        <v>2</v>
      </c>
      <c r="U17" s="420" t="s">
        <v>140</v>
      </c>
      <c r="V17" s="420">
        <v>1</v>
      </c>
      <c r="W17" s="420" t="s">
        <v>141</v>
      </c>
      <c r="X17" s="420">
        <v>430</v>
      </c>
      <c r="Y17" s="420" t="s">
        <v>142</v>
      </c>
      <c r="Z17" s="383"/>
      <c r="AA17" s="386">
        <f t="shared" si="0"/>
        <v>0.93499999999999994</v>
      </c>
    </row>
    <row r="18" spans="1:27" ht="15">
      <c r="A18" s="420">
        <v>366</v>
      </c>
      <c r="B18" s="420" t="s">
        <v>133</v>
      </c>
      <c r="C18" s="420">
        <v>7054</v>
      </c>
      <c r="D18" s="420" t="s">
        <v>134</v>
      </c>
      <c r="E18" s="420" t="s">
        <v>135</v>
      </c>
      <c r="F18" s="420" t="s">
        <v>136</v>
      </c>
      <c r="G18" s="420" t="s">
        <v>137</v>
      </c>
      <c r="H18" s="420">
        <v>62016000</v>
      </c>
      <c r="I18" s="420">
        <v>203</v>
      </c>
      <c r="J18" s="420" t="s">
        <v>138</v>
      </c>
      <c r="K18" s="420">
        <v>97</v>
      </c>
      <c r="L18" s="420">
        <v>49</v>
      </c>
      <c r="M18" s="420">
        <v>31</v>
      </c>
      <c r="N18" s="420" t="s">
        <v>139</v>
      </c>
      <c r="O18" s="420">
        <v>1214837000</v>
      </c>
      <c r="P18" s="421">
        <v>42069</v>
      </c>
      <c r="Q18" s="420">
        <v>5.5999999999999999E-3</v>
      </c>
      <c r="R18" s="421">
        <v>43165</v>
      </c>
      <c r="S18" s="420">
        <v>180000</v>
      </c>
      <c r="T18" s="420">
        <v>2</v>
      </c>
      <c r="U18" s="420" t="s">
        <v>140</v>
      </c>
      <c r="V18" s="420">
        <v>1</v>
      </c>
      <c r="W18" s="420" t="s">
        <v>141</v>
      </c>
      <c r="X18" s="420">
        <v>430</v>
      </c>
      <c r="Y18" s="420" t="s">
        <v>142</v>
      </c>
      <c r="Z18" s="383"/>
      <c r="AA18" s="386">
        <f t="shared" si="0"/>
        <v>10.08</v>
      </c>
    </row>
    <row r="19" spans="1:27" ht="15">
      <c r="A19" s="420">
        <v>679</v>
      </c>
      <c r="B19" s="420" t="s">
        <v>133</v>
      </c>
      <c r="C19" s="420">
        <v>25357</v>
      </c>
      <c r="D19" s="420" t="s">
        <v>147</v>
      </c>
      <c r="E19" s="420" t="s">
        <v>148</v>
      </c>
      <c r="F19" s="420" t="s">
        <v>149</v>
      </c>
      <c r="G19" s="420" t="s">
        <v>137</v>
      </c>
      <c r="H19" s="420">
        <v>61043000</v>
      </c>
      <c r="I19" s="420">
        <v>112</v>
      </c>
      <c r="J19" s="420" t="s">
        <v>138</v>
      </c>
      <c r="K19" s="420">
        <v>70</v>
      </c>
      <c r="L19" s="420">
        <v>35</v>
      </c>
      <c r="M19" s="420">
        <v>71</v>
      </c>
      <c r="N19" s="420" t="s">
        <v>150</v>
      </c>
      <c r="O19" s="420">
        <v>162221000</v>
      </c>
      <c r="P19" s="421">
        <v>42083</v>
      </c>
      <c r="Q19" s="420">
        <v>5.5999999999999999E-3</v>
      </c>
      <c r="R19" s="421">
        <v>43179</v>
      </c>
      <c r="S19" s="420">
        <v>39500</v>
      </c>
      <c r="T19" s="420">
        <v>2</v>
      </c>
      <c r="U19" s="420" t="s">
        <v>140</v>
      </c>
      <c r="V19" s="420">
        <v>1</v>
      </c>
      <c r="W19" s="420" t="s">
        <v>141</v>
      </c>
      <c r="X19" s="420">
        <v>430</v>
      </c>
      <c r="Y19" s="420" t="s">
        <v>142</v>
      </c>
      <c r="Z19" s="383"/>
      <c r="AA19" s="386">
        <f t="shared" si="0"/>
        <v>2.2120000000000002</v>
      </c>
    </row>
    <row r="20" spans="1:27" ht="15">
      <c r="A20" s="420">
        <v>367</v>
      </c>
      <c r="B20" s="420" t="s">
        <v>133</v>
      </c>
      <c r="C20" s="420">
        <v>7054</v>
      </c>
      <c r="D20" s="420" t="s">
        <v>134</v>
      </c>
      <c r="E20" s="420" t="s">
        <v>135</v>
      </c>
      <c r="F20" s="420" t="s">
        <v>136</v>
      </c>
      <c r="G20" s="420" t="s">
        <v>137</v>
      </c>
      <c r="H20" s="420">
        <v>62016000</v>
      </c>
      <c r="I20" s="420">
        <v>203</v>
      </c>
      <c r="J20" s="420" t="s">
        <v>138</v>
      </c>
      <c r="K20" s="420">
        <v>97</v>
      </c>
      <c r="L20" s="420">
        <v>49</v>
      </c>
      <c r="M20" s="420">
        <v>31</v>
      </c>
      <c r="N20" s="420" t="s">
        <v>139</v>
      </c>
      <c r="O20" s="420">
        <v>1214837000</v>
      </c>
      <c r="P20" s="421">
        <v>42118</v>
      </c>
      <c r="Q20" s="420">
        <v>5.7000000000000002E-3</v>
      </c>
      <c r="R20" s="421">
        <v>43214</v>
      </c>
      <c r="S20" s="420">
        <v>12000</v>
      </c>
      <c r="T20" s="420">
        <v>2</v>
      </c>
      <c r="U20" s="420" t="s">
        <v>140</v>
      </c>
      <c r="V20" s="420">
        <v>1</v>
      </c>
      <c r="W20" s="420" t="s">
        <v>141</v>
      </c>
      <c r="X20" s="420">
        <v>430</v>
      </c>
      <c r="Y20" s="420" t="s">
        <v>142</v>
      </c>
      <c r="Z20" s="383"/>
      <c r="AA20" s="386">
        <f t="shared" si="0"/>
        <v>0.68400000000000005</v>
      </c>
    </row>
    <row r="21" spans="1:27" ht="15">
      <c r="A21" s="420">
        <v>680</v>
      </c>
      <c r="B21" s="420" t="s">
        <v>133</v>
      </c>
      <c r="C21" s="420">
        <v>25357</v>
      </c>
      <c r="D21" s="420" t="s">
        <v>147</v>
      </c>
      <c r="E21" s="420" t="s">
        <v>148</v>
      </c>
      <c r="F21" s="420" t="s">
        <v>149</v>
      </c>
      <c r="G21" s="420" t="s">
        <v>137</v>
      </c>
      <c r="H21" s="420">
        <v>61043000</v>
      </c>
      <c r="I21" s="420">
        <v>112</v>
      </c>
      <c r="J21" s="420" t="s">
        <v>138</v>
      </c>
      <c r="K21" s="420">
        <v>70</v>
      </c>
      <c r="L21" s="420">
        <v>35</v>
      </c>
      <c r="M21" s="420">
        <v>71</v>
      </c>
      <c r="N21" s="420" t="s">
        <v>150</v>
      </c>
      <c r="O21" s="420">
        <v>162221000</v>
      </c>
      <c r="P21" s="421">
        <v>42125</v>
      </c>
      <c r="Q21" s="420">
        <v>5.7000000000000002E-3</v>
      </c>
      <c r="R21" s="421">
        <v>43221</v>
      </c>
      <c r="S21" s="420">
        <v>6500</v>
      </c>
      <c r="T21" s="420">
        <v>2</v>
      </c>
      <c r="U21" s="420" t="s">
        <v>140</v>
      </c>
      <c r="V21" s="420">
        <v>1</v>
      </c>
      <c r="W21" s="420" t="s">
        <v>141</v>
      </c>
      <c r="X21" s="420">
        <v>430</v>
      </c>
      <c r="Y21" s="420" t="s">
        <v>142</v>
      </c>
      <c r="Z21" s="383"/>
      <c r="AA21" s="386">
        <f t="shared" si="0"/>
        <v>0.3705</v>
      </c>
    </row>
    <row r="22" spans="1:27" ht="15">
      <c r="A22" s="420">
        <v>368</v>
      </c>
      <c r="B22" s="420" t="s">
        <v>133</v>
      </c>
      <c r="C22" s="420">
        <v>7054</v>
      </c>
      <c r="D22" s="420" t="s">
        <v>134</v>
      </c>
      <c r="E22" s="420" t="s">
        <v>135</v>
      </c>
      <c r="F22" s="420" t="s">
        <v>136</v>
      </c>
      <c r="G22" s="420" t="s">
        <v>137</v>
      </c>
      <c r="H22" s="420">
        <v>62016000</v>
      </c>
      <c r="I22" s="420">
        <v>203</v>
      </c>
      <c r="J22" s="420" t="s">
        <v>138</v>
      </c>
      <c r="K22" s="420">
        <v>97</v>
      </c>
      <c r="L22" s="420">
        <v>49</v>
      </c>
      <c r="M22" s="420">
        <v>31</v>
      </c>
      <c r="N22" s="420" t="s">
        <v>139</v>
      </c>
      <c r="O22" s="420">
        <v>1214837000</v>
      </c>
      <c r="P22" s="421">
        <v>42137</v>
      </c>
      <c r="Q22" s="420">
        <v>5.7000000000000002E-3</v>
      </c>
      <c r="R22" s="421">
        <v>43231</v>
      </c>
      <c r="S22" s="420">
        <v>18000</v>
      </c>
      <c r="T22" s="420">
        <v>2</v>
      </c>
      <c r="U22" s="420" t="s">
        <v>140</v>
      </c>
      <c r="V22" s="420">
        <v>1</v>
      </c>
      <c r="W22" s="420" t="s">
        <v>141</v>
      </c>
      <c r="X22" s="420">
        <v>430</v>
      </c>
      <c r="Y22" s="420" t="s">
        <v>142</v>
      </c>
      <c r="Z22" s="383"/>
      <c r="AA22" s="386">
        <f t="shared" si="0"/>
        <v>1.026</v>
      </c>
    </row>
    <row r="23" spans="1:27" ht="15">
      <c r="A23" s="420">
        <v>369</v>
      </c>
      <c r="B23" s="420" t="s">
        <v>133</v>
      </c>
      <c r="C23" s="420">
        <v>7054</v>
      </c>
      <c r="D23" s="420" t="s">
        <v>134</v>
      </c>
      <c r="E23" s="420" t="s">
        <v>135</v>
      </c>
      <c r="F23" s="420" t="s">
        <v>136</v>
      </c>
      <c r="G23" s="420" t="s">
        <v>137</v>
      </c>
      <c r="H23" s="420">
        <v>62016000</v>
      </c>
      <c r="I23" s="420">
        <v>203</v>
      </c>
      <c r="J23" s="420" t="s">
        <v>138</v>
      </c>
      <c r="K23" s="420">
        <v>97</v>
      </c>
      <c r="L23" s="420">
        <v>49</v>
      </c>
      <c r="M23" s="420">
        <v>31</v>
      </c>
      <c r="N23" s="420" t="s">
        <v>139</v>
      </c>
      <c r="O23" s="420">
        <v>1214837000</v>
      </c>
      <c r="P23" s="421">
        <v>42139</v>
      </c>
      <c r="Q23" s="420">
        <v>5.7000000000000002E-3</v>
      </c>
      <c r="R23" s="421">
        <v>43235</v>
      </c>
      <c r="S23" s="420">
        <v>59550</v>
      </c>
      <c r="T23" s="420">
        <v>2</v>
      </c>
      <c r="U23" s="420" t="s">
        <v>140</v>
      </c>
      <c r="V23" s="420">
        <v>1</v>
      </c>
      <c r="W23" s="420" t="s">
        <v>141</v>
      </c>
      <c r="X23" s="420">
        <v>430</v>
      </c>
      <c r="Y23" s="420" t="s">
        <v>142</v>
      </c>
      <c r="Z23" s="383"/>
      <c r="AA23" s="386">
        <f t="shared" si="0"/>
        <v>3.3943500000000002</v>
      </c>
    </row>
    <row r="24" spans="1:27" ht="15">
      <c r="A24" s="420">
        <v>681</v>
      </c>
      <c r="B24" s="420" t="s">
        <v>133</v>
      </c>
      <c r="C24" s="420">
        <v>25357</v>
      </c>
      <c r="D24" s="420" t="s">
        <v>147</v>
      </c>
      <c r="E24" s="420" t="s">
        <v>148</v>
      </c>
      <c r="F24" s="420" t="s">
        <v>149</v>
      </c>
      <c r="G24" s="420" t="s">
        <v>137</v>
      </c>
      <c r="H24" s="420">
        <v>61043000</v>
      </c>
      <c r="I24" s="420">
        <v>112</v>
      </c>
      <c r="J24" s="420" t="s">
        <v>138</v>
      </c>
      <c r="K24" s="420">
        <v>70</v>
      </c>
      <c r="L24" s="420">
        <v>35</v>
      </c>
      <c r="M24" s="420">
        <v>71</v>
      </c>
      <c r="N24" s="420" t="s">
        <v>150</v>
      </c>
      <c r="O24" s="420">
        <v>162221000</v>
      </c>
      <c r="P24" s="421">
        <v>42139</v>
      </c>
      <c r="Q24" s="420">
        <v>5.7000000000000002E-3</v>
      </c>
      <c r="R24" s="421">
        <v>43235</v>
      </c>
      <c r="S24" s="420">
        <v>24500</v>
      </c>
      <c r="T24" s="420">
        <v>2</v>
      </c>
      <c r="U24" s="420" t="s">
        <v>140</v>
      </c>
      <c r="V24" s="420">
        <v>1</v>
      </c>
      <c r="W24" s="420" t="s">
        <v>141</v>
      </c>
      <c r="X24" s="420">
        <v>430</v>
      </c>
      <c r="Y24" s="420" t="s">
        <v>142</v>
      </c>
      <c r="Z24" s="383"/>
      <c r="AA24" s="386">
        <f t="shared" si="0"/>
        <v>1.3965000000000001</v>
      </c>
    </row>
    <row r="25" spans="1:27" ht="15">
      <c r="A25" s="420">
        <v>682</v>
      </c>
      <c r="B25" s="420" t="s">
        <v>133</v>
      </c>
      <c r="C25" s="420">
        <v>25357</v>
      </c>
      <c r="D25" s="420" t="s">
        <v>147</v>
      </c>
      <c r="E25" s="420" t="s">
        <v>148</v>
      </c>
      <c r="F25" s="420" t="s">
        <v>149</v>
      </c>
      <c r="G25" s="420" t="s">
        <v>137</v>
      </c>
      <c r="H25" s="420">
        <v>61043000</v>
      </c>
      <c r="I25" s="420">
        <v>112</v>
      </c>
      <c r="J25" s="420" t="s">
        <v>138</v>
      </c>
      <c r="K25" s="420">
        <v>70</v>
      </c>
      <c r="L25" s="420">
        <v>35</v>
      </c>
      <c r="M25" s="420">
        <v>71</v>
      </c>
      <c r="N25" s="420" t="s">
        <v>150</v>
      </c>
      <c r="O25" s="420">
        <v>162221000</v>
      </c>
      <c r="P25" s="421">
        <v>42139</v>
      </c>
      <c r="Q25" s="420">
        <v>5.7000000000000002E-3</v>
      </c>
      <c r="R25" s="421">
        <v>43235</v>
      </c>
      <c r="S25" s="420">
        <v>19500</v>
      </c>
      <c r="T25" s="420">
        <v>2</v>
      </c>
      <c r="U25" s="420" t="s">
        <v>140</v>
      </c>
      <c r="V25" s="420">
        <v>1</v>
      </c>
      <c r="W25" s="420" t="s">
        <v>141</v>
      </c>
      <c r="X25" s="420">
        <v>430</v>
      </c>
      <c r="Y25" s="420" t="s">
        <v>142</v>
      </c>
      <c r="Z25" s="383"/>
      <c r="AA25" s="386">
        <f t="shared" si="0"/>
        <v>1.1115000000000002</v>
      </c>
    </row>
    <row r="26" spans="1:27" ht="15">
      <c r="A26" s="420">
        <v>683</v>
      </c>
      <c r="B26" s="420" t="s">
        <v>133</v>
      </c>
      <c r="C26" s="420">
        <v>25357</v>
      </c>
      <c r="D26" s="420" t="s">
        <v>147</v>
      </c>
      <c r="E26" s="420" t="s">
        <v>148</v>
      </c>
      <c r="F26" s="420" t="s">
        <v>149</v>
      </c>
      <c r="G26" s="420" t="s">
        <v>137</v>
      </c>
      <c r="H26" s="420">
        <v>61043000</v>
      </c>
      <c r="I26" s="420">
        <v>112</v>
      </c>
      <c r="J26" s="420" t="s">
        <v>138</v>
      </c>
      <c r="K26" s="420">
        <v>70</v>
      </c>
      <c r="L26" s="420">
        <v>35</v>
      </c>
      <c r="M26" s="420">
        <v>71</v>
      </c>
      <c r="N26" s="420" t="s">
        <v>150</v>
      </c>
      <c r="O26" s="420">
        <v>162221000</v>
      </c>
      <c r="P26" s="421">
        <v>42179</v>
      </c>
      <c r="Q26" s="420">
        <v>4.1000000000000003E-3</v>
      </c>
      <c r="R26" s="421">
        <v>42909</v>
      </c>
      <c r="S26" s="420">
        <v>40000</v>
      </c>
      <c r="T26" s="420">
        <v>2</v>
      </c>
      <c r="U26" s="420" t="s">
        <v>140</v>
      </c>
      <c r="V26" s="420">
        <v>1</v>
      </c>
      <c r="W26" s="420" t="s">
        <v>141</v>
      </c>
      <c r="X26" s="420">
        <v>430</v>
      </c>
      <c r="Y26" s="420" t="s">
        <v>142</v>
      </c>
      <c r="Z26" s="383"/>
      <c r="AA26" s="386">
        <f t="shared" si="0"/>
        <v>1.6400000000000001</v>
      </c>
    </row>
    <row r="27" spans="1:27" ht="15">
      <c r="A27" s="420">
        <v>370</v>
      </c>
      <c r="B27" s="420" t="s">
        <v>133</v>
      </c>
      <c r="C27" s="420">
        <v>7054</v>
      </c>
      <c r="D27" s="420" t="s">
        <v>134</v>
      </c>
      <c r="E27" s="420" t="s">
        <v>135</v>
      </c>
      <c r="F27" s="420" t="s">
        <v>136</v>
      </c>
      <c r="G27" s="420" t="s">
        <v>137</v>
      </c>
      <c r="H27" s="420">
        <v>62016000</v>
      </c>
      <c r="I27" s="420">
        <v>203</v>
      </c>
      <c r="J27" s="420" t="s">
        <v>138</v>
      </c>
      <c r="K27" s="420">
        <v>97</v>
      </c>
      <c r="L27" s="420">
        <v>49</v>
      </c>
      <c r="M27" s="420">
        <v>31</v>
      </c>
      <c r="N27" s="420" t="s">
        <v>139</v>
      </c>
      <c r="O27" s="420">
        <v>1214837000</v>
      </c>
      <c r="P27" s="421">
        <v>42191</v>
      </c>
      <c r="Q27" s="420">
        <v>4.1999999999999997E-3</v>
      </c>
      <c r="R27" s="421">
        <v>42922</v>
      </c>
      <c r="S27" s="420">
        <v>20000</v>
      </c>
      <c r="T27" s="420">
        <v>2</v>
      </c>
      <c r="U27" s="420" t="s">
        <v>140</v>
      </c>
      <c r="V27" s="420">
        <v>1</v>
      </c>
      <c r="W27" s="420" t="s">
        <v>141</v>
      </c>
      <c r="X27" s="420">
        <v>430</v>
      </c>
      <c r="Y27" s="420" t="s">
        <v>142</v>
      </c>
      <c r="Z27" s="383"/>
      <c r="AA27" s="386">
        <f t="shared" si="0"/>
        <v>0.84</v>
      </c>
    </row>
    <row r="28" spans="1:27" ht="15">
      <c r="A28" s="420">
        <v>684</v>
      </c>
      <c r="B28" s="420" t="s">
        <v>133</v>
      </c>
      <c r="C28" s="420">
        <v>25357</v>
      </c>
      <c r="D28" s="420" t="s">
        <v>147</v>
      </c>
      <c r="E28" s="420" t="s">
        <v>148</v>
      </c>
      <c r="F28" s="420" t="s">
        <v>149</v>
      </c>
      <c r="G28" s="420" t="s">
        <v>137</v>
      </c>
      <c r="H28" s="420">
        <v>61043000</v>
      </c>
      <c r="I28" s="420">
        <v>112</v>
      </c>
      <c r="J28" s="420" t="s">
        <v>138</v>
      </c>
      <c r="K28" s="420">
        <v>70</v>
      </c>
      <c r="L28" s="420">
        <v>35</v>
      </c>
      <c r="M28" s="420">
        <v>71</v>
      </c>
      <c r="N28" s="420" t="s">
        <v>150</v>
      </c>
      <c r="O28" s="420">
        <v>162221000</v>
      </c>
      <c r="P28" s="421">
        <v>42191</v>
      </c>
      <c r="Q28" s="420">
        <v>4.1999999999999997E-3</v>
      </c>
      <c r="R28" s="421">
        <v>42922</v>
      </c>
      <c r="S28" s="420">
        <v>9000</v>
      </c>
      <c r="T28" s="420">
        <v>2</v>
      </c>
      <c r="U28" s="420" t="s">
        <v>140</v>
      </c>
      <c r="V28" s="420">
        <v>1</v>
      </c>
      <c r="W28" s="420" t="s">
        <v>141</v>
      </c>
      <c r="X28" s="420">
        <v>430</v>
      </c>
      <c r="Y28" s="420" t="s">
        <v>142</v>
      </c>
      <c r="Z28" s="383"/>
      <c r="AA28" s="386">
        <f t="shared" si="0"/>
        <v>0.378</v>
      </c>
    </row>
    <row r="29" spans="1:27" ht="15">
      <c r="A29" s="420">
        <v>371</v>
      </c>
      <c r="B29" s="420" t="s">
        <v>133</v>
      </c>
      <c r="C29" s="420">
        <v>7054</v>
      </c>
      <c r="D29" s="420" t="s">
        <v>134</v>
      </c>
      <c r="E29" s="420" t="s">
        <v>135</v>
      </c>
      <c r="F29" s="420" t="s">
        <v>136</v>
      </c>
      <c r="G29" s="420" t="s">
        <v>137</v>
      </c>
      <c r="H29" s="420">
        <v>62016000</v>
      </c>
      <c r="I29" s="420">
        <v>203</v>
      </c>
      <c r="J29" s="420" t="s">
        <v>138</v>
      </c>
      <c r="K29" s="420">
        <v>97</v>
      </c>
      <c r="L29" s="420">
        <v>49</v>
      </c>
      <c r="M29" s="420">
        <v>31</v>
      </c>
      <c r="N29" s="420" t="s">
        <v>139</v>
      </c>
      <c r="O29" s="420">
        <v>1214837000</v>
      </c>
      <c r="P29" s="421">
        <v>42195</v>
      </c>
      <c r="Q29" s="420">
        <v>4.1999999999999997E-3</v>
      </c>
      <c r="R29" s="421">
        <v>42926</v>
      </c>
      <c r="S29" s="420">
        <v>49000</v>
      </c>
      <c r="T29" s="420">
        <v>2</v>
      </c>
      <c r="U29" s="420" t="s">
        <v>140</v>
      </c>
      <c r="V29" s="420">
        <v>1</v>
      </c>
      <c r="W29" s="420" t="s">
        <v>141</v>
      </c>
      <c r="X29" s="420">
        <v>430</v>
      </c>
      <c r="Y29" s="420" t="s">
        <v>142</v>
      </c>
      <c r="Z29" s="383"/>
      <c r="AA29" s="386">
        <f t="shared" si="0"/>
        <v>2.0579999999999998</v>
      </c>
    </row>
    <row r="30" spans="1:27" ht="15">
      <c r="A30" s="420">
        <v>590</v>
      </c>
      <c r="B30" s="420" t="s">
        <v>133</v>
      </c>
      <c r="C30" s="420">
        <v>28853</v>
      </c>
      <c r="D30" s="420" t="s">
        <v>143</v>
      </c>
      <c r="E30" s="420" t="s">
        <v>144</v>
      </c>
      <c r="F30" s="420" t="s">
        <v>145</v>
      </c>
      <c r="G30" s="420" t="s">
        <v>137</v>
      </c>
      <c r="H30" s="420">
        <v>61048000</v>
      </c>
      <c r="I30" s="420">
        <v>233</v>
      </c>
      <c r="J30" s="420" t="s">
        <v>138</v>
      </c>
      <c r="K30" s="420">
        <v>74</v>
      </c>
      <c r="L30" s="420">
        <v>37</v>
      </c>
      <c r="M30" s="420">
        <v>89</v>
      </c>
      <c r="N30" s="420" t="s">
        <v>146</v>
      </c>
      <c r="O30" s="420">
        <v>207658000</v>
      </c>
      <c r="P30" s="421">
        <v>42213</v>
      </c>
      <c r="Q30" s="420">
        <v>4.1999999999999997E-3</v>
      </c>
      <c r="R30" s="421">
        <v>42942</v>
      </c>
      <c r="S30" s="420">
        <v>39500</v>
      </c>
      <c r="T30" s="420">
        <v>2</v>
      </c>
      <c r="U30" s="420" t="s">
        <v>140</v>
      </c>
      <c r="V30" s="420">
        <v>1</v>
      </c>
      <c r="W30" s="420" t="s">
        <v>141</v>
      </c>
      <c r="X30" s="420">
        <v>430</v>
      </c>
      <c r="Y30" s="420" t="s">
        <v>142</v>
      </c>
      <c r="Z30" s="383"/>
      <c r="AA30" s="386">
        <f t="shared" si="0"/>
        <v>1.6589999999999998</v>
      </c>
    </row>
    <row r="31" spans="1:27" ht="15">
      <c r="A31" s="420">
        <v>372</v>
      </c>
      <c r="B31" s="420" t="s">
        <v>133</v>
      </c>
      <c r="C31" s="420">
        <v>7054</v>
      </c>
      <c r="D31" s="420" t="s">
        <v>134</v>
      </c>
      <c r="E31" s="420" t="s">
        <v>135</v>
      </c>
      <c r="F31" s="420" t="s">
        <v>136</v>
      </c>
      <c r="G31" s="420" t="s">
        <v>137</v>
      </c>
      <c r="H31" s="420">
        <v>62016000</v>
      </c>
      <c r="I31" s="420">
        <v>203</v>
      </c>
      <c r="J31" s="420" t="s">
        <v>138</v>
      </c>
      <c r="K31" s="420">
        <v>97</v>
      </c>
      <c r="L31" s="420">
        <v>49</v>
      </c>
      <c r="M31" s="420">
        <v>31</v>
      </c>
      <c r="N31" s="420" t="s">
        <v>139</v>
      </c>
      <c r="O31" s="420">
        <v>1214837000</v>
      </c>
      <c r="P31" s="421">
        <v>42279</v>
      </c>
      <c r="Q31" s="420">
        <v>6.3E-3</v>
      </c>
      <c r="R31" s="421">
        <v>43375</v>
      </c>
      <c r="S31" s="420">
        <v>158000</v>
      </c>
      <c r="T31" s="420">
        <v>2</v>
      </c>
      <c r="U31" s="420" t="s">
        <v>140</v>
      </c>
      <c r="V31" s="420">
        <v>1</v>
      </c>
      <c r="W31" s="420" t="s">
        <v>141</v>
      </c>
      <c r="X31" s="420">
        <v>430</v>
      </c>
      <c r="Y31" s="420" t="s">
        <v>142</v>
      </c>
      <c r="Z31" s="383"/>
      <c r="AA31" s="386">
        <f t="shared" si="0"/>
        <v>9.9540000000000006</v>
      </c>
    </row>
    <row r="32" spans="1:27" ht="15">
      <c r="A32" s="420">
        <v>685</v>
      </c>
      <c r="B32" s="420" t="s">
        <v>133</v>
      </c>
      <c r="C32" s="420">
        <v>25357</v>
      </c>
      <c r="D32" s="420" t="s">
        <v>147</v>
      </c>
      <c r="E32" s="420" t="s">
        <v>148</v>
      </c>
      <c r="F32" s="420" t="s">
        <v>149</v>
      </c>
      <c r="G32" s="420" t="s">
        <v>137</v>
      </c>
      <c r="H32" s="420">
        <v>61043000</v>
      </c>
      <c r="I32" s="420">
        <v>112</v>
      </c>
      <c r="J32" s="420" t="s">
        <v>138</v>
      </c>
      <c r="K32" s="420">
        <v>70</v>
      </c>
      <c r="L32" s="420">
        <v>35</v>
      </c>
      <c r="M32" s="420">
        <v>71</v>
      </c>
      <c r="N32" s="420" t="s">
        <v>150</v>
      </c>
      <c r="O32" s="420">
        <v>162221000</v>
      </c>
      <c r="P32" s="421">
        <v>42293</v>
      </c>
      <c r="Q32" s="420">
        <v>6.3E-3</v>
      </c>
      <c r="R32" s="421">
        <v>43389</v>
      </c>
      <c r="S32" s="420">
        <v>12000</v>
      </c>
      <c r="T32" s="420">
        <v>2</v>
      </c>
      <c r="U32" s="420" t="s">
        <v>140</v>
      </c>
      <c r="V32" s="420">
        <v>1</v>
      </c>
      <c r="W32" s="420" t="s">
        <v>141</v>
      </c>
      <c r="X32" s="420">
        <v>430</v>
      </c>
      <c r="Y32" s="420" t="s">
        <v>142</v>
      </c>
      <c r="Z32" s="383"/>
      <c r="AA32" s="386">
        <f t="shared" si="0"/>
        <v>0.75600000000000001</v>
      </c>
    </row>
    <row r="33" spans="1:27" ht="15">
      <c r="A33" s="420">
        <v>591</v>
      </c>
      <c r="B33" s="420" t="s">
        <v>133</v>
      </c>
      <c r="C33" s="420">
        <v>28853</v>
      </c>
      <c r="D33" s="420" t="s">
        <v>143</v>
      </c>
      <c r="E33" s="420" t="s">
        <v>144</v>
      </c>
      <c r="F33" s="420" t="s">
        <v>145</v>
      </c>
      <c r="G33" s="420" t="s">
        <v>137</v>
      </c>
      <c r="H33" s="420">
        <v>61048000</v>
      </c>
      <c r="I33" s="420">
        <v>233</v>
      </c>
      <c r="J33" s="420" t="s">
        <v>138</v>
      </c>
      <c r="K33" s="420">
        <v>74</v>
      </c>
      <c r="L33" s="420">
        <v>37</v>
      </c>
      <c r="M33" s="420">
        <v>89</v>
      </c>
      <c r="N33" s="420" t="s">
        <v>146</v>
      </c>
      <c r="O33" s="420">
        <v>207658000</v>
      </c>
      <c r="P33" s="421">
        <v>42312</v>
      </c>
      <c r="Q33" s="420">
        <v>4.5999999999999999E-3</v>
      </c>
      <c r="R33" s="421">
        <v>43042</v>
      </c>
      <c r="S33" s="420">
        <v>20200</v>
      </c>
      <c r="T33" s="420">
        <v>2</v>
      </c>
      <c r="U33" s="420" t="s">
        <v>140</v>
      </c>
      <c r="V33" s="420">
        <v>1</v>
      </c>
      <c r="W33" s="420" t="s">
        <v>141</v>
      </c>
      <c r="X33" s="420">
        <v>430</v>
      </c>
      <c r="Y33" s="420" t="s">
        <v>142</v>
      </c>
      <c r="Z33" s="383"/>
      <c r="AA33" s="386">
        <f t="shared" si="0"/>
        <v>0.92920000000000003</v>
      </c>
    </row>
    <row r="34" spans="1:27" ht="15">
      <c r="A34" s="420">
        <v>686</v>
      </c>
      <c r="B34" s="420" t="s">
        <v>133</v>
      </c>
      <c r="C34" s="420">
        <v>25357</v>
      </c>
      <c r="D34" s="420" t="s">
        <v>147</v>
      </c>
      <c r="E34" s="420" t="s">
        <v>148</v>
      </c>
      <c r="F34" s="420" t="s">
        <v>149</v>
      </c>
      <c r="G34" s="420" t="s">
        <v>137</v>
      </c>
      <c r="H34" s="420">
        <v>61043000</v>
      </c>
      <c r="I34" s="420">
        <v>112</v>
      </c>
      <c r="J34" s="420" t="s">
        <v>138</v>
      </c>
      <c r="K34" s="420">
        <v>70</v>
      </c>
      <c r="L34" s="420">
        <v>35</v>
      </c>
      <c r="M34" s="420">
        <v>71</v>
      </c>
      <c r="N34" s="420" t="s">
        <v>150</v>
      </c>
      <c r="O34" s="420">
        <v>162221000</v>
      </c>
      <c r="P34" s="421">
        <v>42317</v>
      </c>
      <c r="Q34" s="420">
        <v>4.5999999999999999E-3</v>
      </c>
      <c r="R34" s="421">
        <v>43048</v>
      </c>
      <c r="S34" s="420">
        <v>25000</v>
      </c>
      <c r="T34" s="420">
        <v>2</v>
      </c>
      <c r="U34" s="420" t="s">
        <v>140</v>
      </c>
      <c r="V34" s="420">
        <v>1</v>
      </c>
      <c r="W34" s="420" t="s">
        <v>141</v>
      </c>
      <c r="X34" s="420">
        <v>430</v>
      </c>
      <c r="Y34" s="420" t="s">
        <v>142</v>
      </c>
      <c r="Z34" s="383"/>
      <c r="AA34" s="386">
        <f t="shared" si="0"/>
        <v>1.1499999999999999</v>
      </c>
    </row>
    <row r="35" spans="1:27" ht="15">
      <c r="A35" s="420">
        <v>373</v>
      </c>
      <c r="B35" s="420" t="s">
        <v>133</v>
      </c>
      <c r="C35" s="420">
        <v>7054</v>
      </c>
      <c r="D35" s="420" t="s">
        <v>134</v>
      </c>
      <c r="E35" s="420" t="s">
        <v>135</v>
      </c>
      <c r="F35" s="420" t="s">
        <v>136</v>
      </c>
      <c r="G35" s="420" t="s">
        <v>137</v>
      </c>
      <c r="H35" s="420">
        <v>62016000</v>
      </c>
      <c r="I35" s="420">
        <v>203</v>
      </c>
      <c r="J35" s="420" t="s">
        <v>138</v>
      </c>
      <c r="K35" s="420">
        <v>97</v>
      </c>
      <c r="L35" s="420">
        <v>49</v>
      </c>
      <c r="M35" s="420">
        <v>31</v>
      </c>
      <c r="N35" s="420" t="s">
        <v>139</v>
      </c>
      <c r="O35" s="420">
        <v>1214837000</v>
      </c>
      <c r="P35" s="421">
        <v>42373</v>
      </c>
      <c r="Q35" s="420">
        <v>6.7999999999999996E-3</v>
      </c>
      <c r="R35" s="421">
        <v>43469</v>
      </c>
      <c r="S35" s="420">
        <v>38000</v>
      </c>
      <c r="T35" s="420">
        <v>2</v>
      </c>
      <c r="U35" s="420" t="s">
        <v>140</v>
      </c>
      <c r="V35" s="420">
        <v>1</v>
      </c>
      <c r="W35" s="420" t="s">
        <v>141</v>
      </c>
      <c r="X35" s="420">
        <v>430</v>
      </c>
      <c r="Y35" s="420" t="s">
        <v>142</v>
      </c>
      <c r="Z35" s="383"/>
      <c r="AA35" s="386">
        <f t="shared" si="0"/>
        <v>2.5840000000000001</v>
      </c>
    </row>
    <row r="36" spans="1:27" ht="15">
      <c r="A36" s="420">
        <v>374</v>
      </c>
      <c r="B36" s="420" t="s">
        <v>133</v>
      </c>
      <c r="C36" s="420">
        <v>7054</v>
      </c>
      <c r="D36" s="420" t="s">
        <v>134</v>
      </c>
      <c r="E36" s="420" t="s">
        <v>135</v>
      </c>
      <c r="F36" s="420" t="s">
        <v>136</v>
      </c>
      <c r="G36" s="420" t="s">
        <v>137</v>
      </c>
      <c r="H36" s="420">
        <v>62016000</v>
      </c>
      <c r="I36" s="420">
        <v>203</v>
      </c>
      <c r="J36" s="420" t="s">
        <v>138</v>
      </c>
      <c r="K36" s="420">
        <v>97</v>
      </c>
      <c r="L36" s="420">
        <v>49</v>
      </c>
      <c r="M36" s="420">
        <v>31</v>
      </c>
      <c r="N36" s="420" t="s">
        <v>139</v>
      </c>
      <c r="O36" s="420">
        <v>1214837000</v>
      </c>
      <c r="P36" s="421">
        <v>42377</v>
      </c>
      <c r="Q36" s="420">
        <v>6.7999999999999996E-3</v>
      </c>
      <c r="R36" s="421">
        <v>43473</v>
      </c>
      <c r="S36" s="420">
        <v>72000</v>
      </c>
      <c r="T36" s="420">
        <v>2</v>
      </c>
      <c r="U36" s="420" t="s">
        <v>140</v>
      </c>
      <c r="V36" s="420">
        <v>1</v>
      </c>
      <c r="W36" s="420" t="s">
        <v>141</v>
      </c>
      <c r="X36" s="420">
        <v>430</v>
      </c>
      <c r="Y36" s="420" t="s">
        <v>142</v>
      </c>
      <c r="Z36" s="383"/>
      <c r="AA36" s="386">
        <f t="shared" si="0"/>
        <v>4.8959999999999999</v>
      </c>
    </row>
    <row r="37" spans="1:27" ht="15">
      <c r="A37" s="420">
        <v>687</v>
      </c>
      <c r="B37" s="420" t="s">
        <v>133</v>
      </c>
      <c r="C37" s="420">
        <v>25357</v>
      </c>
      <c r="D37" s="420" t="s">
        <v>147</v>
      </c>
      <c r="E37" s="420" t="s">
        <v>148</v>
      </c>
      <c r="F37" s="420" t="s">
        <v>149</v>
      </c>
      <c r="G37" s="420" t="s">
        <v>137</v>
      </c>
      <c r="H37" s="420">
        <v>61043000</v>
      </c>
      <c r="I37" s="420">
        <v>112</v>
      </c>
      <c r="J37" s="420" t="s">
        <v>138</v>
      </c>
      <c r="K37" s="420">
        <v>70</v>
      </c>
      <c r="L37" s="420">
        <v>35</v>
      </c>
      <c r="M37" s="420">
        <v>71</v>
      </c>
      <c r="N37" s="420" t="s">
        <v>150</v>
      </c>
      <c r="O37" s="420">
        <v>162221000</v>
      </c>
      <c r="P37" s="421">
        <v>42382</v>
      </c>
      <c r="Q37" s="420">
        <v>6.7999999999999996E-3</v>
      </c>
      <c r="R37" s="421">
        <v>43476</v>
      </c>
      <c r="S37" s="420">
        <v>24750</v>
      </c>
      <c r="T37" s="420">
        <v>2</v>
      </c>
      <c r="U37" s="420" t="s">
        <v>140</v>
      </c>
      <c r="V37" s="420">
        <v>1</v>
      </c>
      <c r="W37" s="420" t="s">
        <v>141</v>
      </c>
      <c r="X37" s="420">
        <v>430</v>
      </c>
      <c r="Y37" s="420" t="s">
        <v>142</v>
      </c>
      <c r="Z37" s="383"/>
      <c r="AA37" s="386">
        <f t="shared" si="0"/>
        <v>1.6830000000000001</v>
      </c>
    </row>
    <row r="38" spans="1:27" ht="15">
      <c r="A38" s="420">
        <v>688</v>
      </c>
      <c r="B38" s="420" t="s">
        <v>133</v>
      </c>
      <c r="C38" s="420">
        <v>25357</v>
      </c>
      <c r="D38" s="420" t="s">
        <v>147</v>
      </c>
      <c r="E38" s="420" t="s">
        <v>148</v>
      </c>
      <c r="F38" s="420" t="s">
        <v>149</v>
      </c>
      <c r="G38" s="420" t="s">
        <v>137</v>
      </c>
      <c r="H38" s="420">
        <v>61043000</v>
      </c>
      <c r="I38" s="420">
        <v>112</v>
      </c>
      <c r="J38" s="420" t="s">
        <v>138</v>
      </c>
      <c r="K38" s="420">
        <v>70</v>
      </c>
      <c r="L38" s="420">
        <v>35</v>
      </c>
      <c r="M38" s="420">
        <v>71</v>
      </c>
      <c r="N38" s="420" t="s">
        <v>150</v>
      </c>
      <c r="O38" s="420">
        <v>162221000</v>
      </c>
      <c r="P38" s="421">
        <v>42382</v>
      </c>
      <c r="Q38" s="420">
        <v>6.7999999999999996E-3</v>
      </c>
      <c r="R38" s="421">
        <v>43476</v>
      </c>
      <c r="S38" s="420">
        <v>30000</v>
      </c>
      <c r="T38" s="420">
        <v>2</v>
      </c>
      <c r="U38" s="420" t="s">
        <v>140</v>
      </c>
      <c r="V38" s="420">
        <v>1</v>
      </c>
      <c r="W38" s="420" t="s">
        <v>141</v>
      </c>
      <c r="X38" s="420">
        <v>430</v>
      </c>
      <c r="Y38" s="420" t="s">
        <v>142</v>
      </c>
      <c r="Z38" s="383"/>
      <c r="AA38" s="386">
        <f t="shared" si="0"/>
        <v>2.04</v>
      </c>
    </row>
    <row r="39" spans="1:27" ht="15">
      <c r="A39" s="420">
        <v>375</v>
      </c>
      <c r="B39" s="420" t="s">
        <v>133</v>
      </c>
      <c r="C39" s="420">
        <v>7054</v>
      </c>
      <c r="D39" s="420" t="s">
        <v>134</v>
      </c>
      <c r="E39" s="420" t="s">
        <v>135</v>
      </c>
      <c r="F39" s="420" t="s">
        <v>136</v>
      </c>
      <c r="G39" s="420" t="s">
        <v>137</v>
      </c>
      <c r="H39" s="420">
        <v>62016000</v>
      </c>
      <c r="I39" s="420">
        <v>203</v>
      </c>
      <c r="J39" s="420" t="s">
        <v>138</v>
      </c>
      <c r="K39" s="420">
        <v>97</v>
      </c>
      <c r="L39" s="420">
        <v>49</v>
      </c>
      <c r="M39" s="420">
        <v>31</v>
      </c>
      <c r="N39" s="420" t="s">
        <v>139</v>
      </c>
      <c r="O39" s="420">
        <v>1214837000</v>
      </c>
      <c r="P39" s="421">
        <v>42384</v>
      </c>
      <c r="Q39" s="420">
        <v>6.7999999999999996E-3</v>
      </c>
      <c r="R39" s="421">
        <v>43480</v>
      </c>
      <c r="S39" s="420">
        <v>33250</v>
      </c>
      <c r="T39" s="420">
        <v>2</v>
      </c>
      <c r="U39" s="420" t="s">
        <v>140</v>
      </c>
      <c r="V39" s="420">
        <v>1</v>
      </c>
      <c r="W39" s="420" t="s">
        <v>141</v>
      </c>
      <c r="X39" s="420">
        <v>430</v>
      </c>
      <c r="Y39" s="420" t="s">
        <v>142</v>
      </c>
      <c r="Z39" s="383"/>
      <c r="AA39" s="386">
        <f t="shared" si="0"/>
        <v>2.2610000000000001</v>
      </c>
    </row>
    <row r="40" spans="1:27" ht="15">
      <c r="A40" s="420">
        <v>689</v>
      </c>
      <c r="B40" s="420" t="s">
        <v>133</v>
      </c>
      <c r="C40" s="420">
        <v>25357</v>
      </c>
      <c r="D40" s="420" t="s">
        <v>147</v>
      </c>
      <c r="E40" s="420" t="s">
        <v>148</v>
      </c>
      <c r="F40" s="420" t="s">
        <v>149</v>
      </c>
      <c r="G40" s="420" t="s">
        <v>137</v>
      </c>
      <c r="H40" s="420">
        <v>61043000</v>
      </c>
      <c r="I40" s="420">
        <v>112</v>
      </c>
      <c r="J40" s="420" t="s">
        <v>138</v>
      </c>
      <c r="K40" s="420">
        <v>70</v>
      </c>
      <c r="L40" s="420">
        <v>35</v>
      </c>
      <c r="M40" s="420">
        <v>71</v>
      </c>
      <c r="N40" s="420" t="s">
        <v>150</v>
      </c>
      <c r="O40" s="420">
        <v>162221000</v>
      </c>
      <c r="P40" s="421">
        <v>42390</v>
      </c>
      <c r="Q40" s="420">
        <v>6.7999999999999996E-3</v>
      </c>
      <c r="R40" s="421">
        <v>43483</v>
      </c>
      <c r="S40" s="420">
        <v>41900</v>
      </c>
      <c r="T40" s="420">
        <v>2</v>
      </c>
      <c r="U40" s="420" t="s">
        <v>140</v>
      </c>
      <c r="V40" s="420">
        <v>1</v>
      </c>
      <c r="W40" s="420" t="s">
        <v>141</v>
      </c>
      <c r="X40" s="420">
        <v>430</v>
      </c>
      <c r="Y40" s="420" t="s">
        <v>142</v>
      </c>
      <c r="Z40" s="383"/>
      <c r="AA40" s="386">
        <f t="shared" si="0"/>
        <v>2.8492000000000002</v>
      </c>
    </row>
    <row r="41" spans="1:27" ht="15">
      <c r="A41" s="420">
        <v>376</v>
      </c>
      <c r="B41" s="420" t="s">
        <v>133</v>
      </c>
      <c r="C41" s="420">
        <v>7054</v>
      </c>
      <c r="D41" s="420" t="s">
        <v>134</v>
      </c>
      <c r="E41" s="420" t="s">
        <v>135</v>
      </c>
      <c r="F41" s="420" t="s">
        <v>136</v>
      </c>
      <c r="G41" s="420" t="s">
        <v>137</v>
      </c>
      <c r="H41" s="420">
        <v>62016000</v>
      </c>
      <c r="I41" s="420">
        <v>203</v>
      </c>
      <c r="J41" s="420" t="s">
        <v>138</v>
      </c>
      <c r="K41" s="420">
        <v>97</v>
      </c>
      <c r="L41" s="420">
        <v>49</v>
      </c>
      <c r="M41" s="420">
        <v>31</v>
      </c>
      <c r="N41" s="420" t="s">
        <v>139</v>
      </c>
      <c r="O41" s="420">
        <v>1214837000</v>
      </c>
      <c r="P41" s="421">
        <v>42391</v>
      </c>
      <c r="Q41" s="420">
        <v>6.7999999999999996E-3</v>
      </c>
      <c r="R41" s="421">
        <v>43487</v>
      </c>
      <c r="S41" s="420">
        <v>30000</v>
      </c>
      <c r="T41" s="420">
        <v>2</v>
      </c>
      <c r="U41" s="420" t="s">
        <v>140</v>
      </c>
      <c r="V41" s="420">
        <v>1</v>
      </c>
      <c r="W41" s="420" t="s">
        <v>141</v>
      </c>
      <c r="X41" s="420">
        <v>430</v>
      </c>
      <c r="Y41" s="420" t="s">
        <v>142</v>
      </c>
      <c r="Z41" s="383"/>
      <c r="AA41" s="386">
        <f t="shared" si="0"/>
        <v>2.04</v>
      </c>
    </row>
    <row r="42" spans="1:27" ht="15">
      <c r="A42" s="420">
        <v>377</v>
      </c>
      <c r="B42" s="420" t="s">
        <v>133</v>
      </c>
      <c r="C42" s="420">
        <v>7054</v>
      </c>
      <c r="D42" s="420" t="s">
        <v>134</v>
      </c>
      <c r="E42" s="420" t="s">
        <v>135</v>
      </c>
      <c r="F42" s="420" t="s">
        <v>136</v>
      </c>
      <c r="G42" s="420" t="s">
        <v>137</v>
      </c>
      <c r="H42" s="420">
        <v>62016000</v>
      </c>
      <c r="I42" s="420">
        <v>203</v>
      </c>
      <c r="J42" s="420" t="s">
        <v>138</v>
      </c>
      <c r="K42" s="420">
        <v>97</v>
      </c>
      <c r="L42" s="420">
        <v>49</v>
      </c>
      <c r="M42" s="420">
        <v>31</v>
      </c>
      <c r="N42" s="420" t="s">
        <v>139</v>
      </c>
      <c r="O42" s="420">
        <v>1214837000</v>
      </c>
      <c r="P42" s="421">
        <v>42402</v>
      </c>
      <c r="Q42" s="420">
        <v>6.8999999999999999E-3</v>
      </c>
      <c r="R42" s="421">
        <v>43497</v>
      </c>
      <c r="S42" s="420">
        <v>26250</v>
      </c>
      <c r="T42" s="420">
        <v>2</v>
      </c>
      <c r="U42" s="420" t="s">
        <v>140</v>
      </c>
      <c r="V42" s="420">
        <v>1</v>
      </c>
      <c r="W42" s="420" t="s">
        <v>141</v>
      </c>
      <c r="X42" s="420">
        <v>430</v>
      </c>
      <c r="Y42" s="420" t="s">
        <v>142</v>
      </c>
      <c r="Z42" s="383"/>
      <c r="AA42" s="386">
        <f t="shared" si="0"/>
        <v>1.8112499999999998</v>
      </c>
    </row>
    <row r="43" spans="1:27" ht="15">
      <c r="A43" s="420">
        <v>378</v>
      </c>
      <c r="B43" s="420" t="s">
        <v>133</v>
      </c>
      <c r="C43" s="420">
        <v>7054</v>
      </c>
      <c r="D43" s="420" t="s">
        <v>134</v>
      </c>
      <c r="E43" s="420" t="s">
        <v>135</v>
      </c>
      <c r="F43" s="420" t="s">
        <v>136</v>
      </c>
      <c r="G43" s="420" t="s">
        <v>137</v>
      </c>
      <c r="H43" s="420">
        <v>62016000</v>
      </c>
      <c r="I43" s="420">
        <v>203</v>
      </c>
      <c r="J43" s="420" t="s">
        <v>138</v>
      </c>
      <c r="K43" s="420">
        <v>97</v>
      </c>
      <c r="L43" s="420">
        <v>49</v>
      </c>
      <c r="M43" s="420">
        <v>31</v>
      </c>
      <c r="N43" s="420" t="s">
        <v>139</v>
      </c>
      <c r="O43" s="420">
        <v>1214837000</v>
      </c>
      <c r="P43" s="421">
        <v>42403</v>
      </c>
      <c r="Q43" s="420">
        <v>6.8999999999999999E-3</v>
      </c>
      <c r="R43" s="421">
        <v>43497</v>
      </c>
      <c r="S43" s="420">
        <v>29000</v>
      </c>
      <c r="T43" s="420">
        <v>2</v>
      </c>
      <c r="U43" s="420" t="s">
        <v>140</v>
      </c>
      <c r="V43" s="420">
        <v>1</v>
      </c>
      <c r="W43" s="420" t="s">
        <v>141</v>
      </c>
      <c r="X43" s="420">
        <v>430</v>
      </c>
      <c r="Y43" s="420" t="s">
        <v>142</v>
      </c>
      <c r="Z43" s="383"/>
      <c r="AA43" s="386">
        <f t="shared" si="0"/>
        <v>2.0009999999999999</v>
      </c>
    </row>
    <row r="44" spans="1:27" ht="15">
      <c r="A44" s="420">
        <v>592</v>
      </c>
      <c r="B44" s="420" t="s">
        <v>133</v>
      </c>
      <c r="C44" s="420">
        <v>28853</v>
      </c>
      <c r="D44" s="420" t="s">
        <v>143</v>
      </c>
      <c r="E44" s="420" t="s">
        <v>144</v>
      </c>
      <c r="F44" s="420" t="s">
        <v>145</v>
      </c>
      <c r="G44" s="420" t="s">
        <v>137</v>
      </c>
      <c r="H44" s="420">
        <v>61048000</v>
      </c>
      <c r="I44" s="420">
        <v>233</v>
      </c>
      <c r="J44" s="420" t="s">
        <v>138</v>
      </c>
      <c r="K44" s="420">
        <v>74</v>
      </c>
      <c r="L44" s="420">
        <v>37</v>
      </c>
      <c r="M44" s="420">
        <v>89</v>
      </c>
      <c r="N44" s="420" t="s">
        <v>146</v>
      </c>
      <c r="O44" s="420">
        <v>207658000</v>
      </c>
      <c r="P44" s="421">
        <v>42405</v>
      </c>
      <c r="Q44" s="420">
        <v>6.8999999999999999E-3</v>
      </c>
      <c r="R44" s="421">
        <v>43501</v>
      </c>
      <c r="S44" s="420">
        <v>56000</v>
      </c>
      <c r="T44" s="420">
        <v>2</v>
      </c>
      <c r="U44" s="420" t="s">
        <v>140</v>
      </c>
      <c r="V44" s="420">
        <v>1</v>
      </c>
      <c r="W44" s="420" t="s">
        <v>141</v>
      </c>
      <c r="X44" s="420">
        <v>430</v>
      </c>
      <c r="Y44" s="420" t="s">
        <v>142</v>
      </c>
      <c r="Z44" s="383"/>
      <c r="AA44" s="386">
        <f t="shared" si="0"/>
        <v>3.8639999999999999</v>
      </c>
    </row>
    <row r="45" spans="1:27" ht="15">
      <c r="A45" s="420">
        <v>593</v>
      </c>
      <c r="B45" s="420" t="s">
        <v>133</v>
      </c>
      <c r="C45" s="420">
        <v>28853</v>
      </c>
      <c r="D45" s="420" t="s">
        <v>143</v>
      </c>
      <c r="E45" s="420" t="s">
        <v>144</v>
      </c>
      <c r="F45" s="420" t="s">
        <v>145</v>
      </c>
      <c r="G45" s="420" t="s">
        <v>137</v>
      </c>
      <c r="H45" s="420">
        <v>61048000</v>
      </c>
      <c r="I45" s="420">
        <v>233</v>
      </c>
      <c r="J45" s="420" t="s">
        <v>138</v>
      </c>
      <c r="K45" s="420">
        <v>74</v>
      </c>
      <c r="L45" s="420">
        <v>37</v>
      </c>
      <c r="M45" s="420">
        <v>89</v>
      </c>
      <c r="N45" s="420" t="s">
        <v>146</v>
      </c>
      <c r="O45" s="420">
        <v>207658000</v>
      </c>
      <c r="P45" s="421">
        <v>42411</v>
      </c>
      <c r="Q45" s="420">
        <v>6.8999999999999999E-3</v>
      </c>
      <c r="R45" s="421">
        <v>43507</v>
      </c>
      <c r="S45" s="420">
        <v>36700</v>
      </c>
      <c r="T45" s="420">
        <v>2</v>
      </c>
      <c r="U45" s="420" t="s">
        <v>140</v>
      </c>
      <c r="V45" s="420">
        <v>1</v>
      </c>
      <c r="W45" s="420" t="s">
        <v>141</v>
      </c>
      <c r="X45" s="420">
        <v>430</v>
      </c>
      <c r="Y45" s="420" t="s">
        <v>142</v>
      </c>
      <c r="Z45" s="383"/>
      <c r="AA45" s="386">
        <f t="shared" si="0"/>
        <v>2.5322999999999998</v>
      </c>
    </row>
    <row r="46" spans="1:27" ht="15">
      <c r="A46" s="420">
        <v>594</v>
      </c>
      <c r="B46" s="420" t="s">
        <v>133</v>
      </c>
      <c r="C46" s="420">
        <v>28853</v>
      </c>
      <c r="D46" s="420" t="s">
        <v>143</v>
      </c>
      <c r="E46" s="420" t="s">
        <v>144</v>
      </c>
      <c r="F46" s="420" t="s">
        <v>145</v>
      </c>
      <c r="G46" s="420" t="s">
        <v>137</v>
      </c>
      <c r="H46" s="420">
        <v>61048000</v>
      </c>
      <c r="I46" s="420">
        <v>233</v>
      </c>
      <c r="J46" s="420" t="s">
        <v>138</v>
      </c>
      <c r="K46" s="420">
        <v>74</v>
      </c>
      <c r="L46" s="420">
        <v>37</v>
      </c>
      <c r="M46" s="420">
        <v>89</v>
      </c>
      <c r="N46" s="420" t="s">
        <v>146</v>
      </c>
      <c r="O46" s="420">
        <v>207658000</v>
      </c>
      <c r="P46" s="421">
        <v>42424</v>
      </c>
      <c r="Q46" s="420">
        <v>6.8999999999999999E-3</v>
      </c>
      <c r="R46" s="421">
        <v>43518</v>
      </c>
      <c r="S46" s="420">
        <v>60000</v>
      </c>
      <c r="T46" s="420">
        <v>2</v>
      </c>
      <c r="U46" s="420" t="s">
        <v>140</v>
      </c>
      <c r="V46" s="420">
        <v>1</v>
      </c>
      <c r="W46" s="420" t="s">
        <v>141</v>
      </c>
      <c r="X46" s="420">
        <v>430</v>
      </c>
      <c r="Y46" s="420" t="s">
        <v>142</v>
      </c>
      <c r="Z46" s="383"/>
      <c r="AA46" s="386">
        <f t="shared" si="0"/>
        <v>4.1399999999999997</v>
      </c>
    </row>
    <row r="47" spans="1:27" ht="15">
      <c r="A47" s="420">
        <v>690</v>
      </c>
      <c r="B47" s="420" t="s">
        <v>133</v>
      </c>
      <c r="C47" s="420">
        <v>25357</v>
      </c>
      <c r="D47" s="420" t="s">
        <v>147</v>
      </c>
      <c r="E47" s="420" t="s">
        <v>148</v>
      </c>
      <c r="F47" s="420" t="s">
        <v>149</v>
      </c>
      <c r="G47" s="420" t="s">
        <v>137</v>
      </c>
      <c r="H47" s="420">
        <v>61043000</v>
      </c>
      <c r="I47" s="420">
        <v>112</v>
      </c>
      <c r="J47" s="420" t="s">
        <v>138</v>
      </c>
      <c r="K47" s="420">
        <v>70</v>
      </c>
      <c r="L47" s="420">
        <v>35</v>
      </c>
      <c r="M47" s="420">
        <v>71</v>
      </c>
      <c r="N47" s="420" t="s">
        <v>150</v>
      </c>
      <c r="O47" s="420">
        <v>162221000</v>
      </c>
      <c r="P47" s="421">
        <v>42433</v>
      </c>
      <c r="Q47" s="420">
        <v>7.0000000000000001E-3</v>
      </c>
      <c r="R47" s="421">
        <v>43528</v>
      </c>
      <c r="S47" s="420">
        <v>12500</v>
      </c>
      <c r="T47" s="420">
        <v>2</v>
      </c>
      <c r="U47" s="420" t="s">
        <v>140</v>
      </c>
      <c r="V47" s="420">
        <v>1</v>
      </c>
      <c r="W47" s="420" t="s">
        <v>141</v>
      </c>
      <c r="X47" s="420">
        <v>430</v>
      </c>
      <c r="Y47" s="420" t="s">
        <v>142</v>
      </c>
      <c r="Z47" s="383"/>
      <c r="AA47" s="386">
        <f t="shared" si="0"/>
        <v>0.87500000000000011</v>
      </c>
    </row>
    <row r="48" spans="1:27" ht="15">
      <c r="A48" s="420">
        <v>595</v>
      </c>
      <c r="B48" s="420" t="s">
        <v>133</v>
      </c>
      <c r="C48" s="420">
        <v>28853</v>
      </c>
      <c r="D48" s="420" t="s">
        <v>143</v>
      </c>
      <c r="E48" s="420" t="s">
        <v>144</v>
      </c>
      <c r="F48" s="420" t="s">
        <v>145</v>
      </c>
      <c r="G48" s="420" t="s">
        <v>137</v>
      </c>
      <c r="H48" s="420">
        <v>61048000</v>
      </c>
      <c r="I48" s="420">
        <v>233</v>
      </c>
      <c r="J48" s="420" t="s">
        <v>138</v>
      </c>
      <c r="K48" s="420">
        <v>74</v>
      </c>
      <c r="L48" s="420">
        <v>37</v>
      </c>
      <c r="M48" s="420">
        <v>89</v>
      </c>
      <c r="N48" s="420" t="s">
        <v>146</v>
      </c>
      <c r="O48" s="420">
        <v>207658000</v>
      </c>
      <c r="P48" s="421">
        <v>42443</v>
      </c>
      <c r="Q48" s="420">
        <v>7.0000000000000001E-3</v>
      </c>
      <c r="R48" s="421">
        <v>43538</v>
      </c>
      <c r="S48" s="420">
        <v>486500</v>
      </c>
      <c r="T48" s="420">
        <v>2</v>
      </c>
      <c r="U48" s="420" t="s">
        <v>140</v>
      </c>
      <c r="V48" s="420">
        <v>1</v>
      </c>
      <c r="W48" s="420" t="s">
        <v>141</v>
      </c>
      <c r="X48" s="420">
        <v>430</v>
      </c>
      <c r="Y48" s="420" t="s">
        <v>142</v>
      </c>
      <c r="Z48" s="383"/>
      <c r="AA48" s="386">
        <f t="shared" si="0"/>
        <v>34.055000000000007</v>
      </c>
    </row>
    <row r="49" spans="1:27" ht="15">
      <c r="A49" s="420">
        <v>691</v>
      </c>
      <c r="B49" s="420" t="s">
        <v>133</v>
      </c>
      <c r="C49" s="420">
        <v>25357</v>
      </c>
      <c r="D49" s="420" t="s">
        <v>147</v>
      </c>
      <c r="E49" s="420" t="s">
        <v>148</v>
      </c>
      <c r="F49" s="420" t="s">
        <v>149</v>
      </c>
      <c r="G49" s="420" t="s">
        <v>137</v>
      </c>
      <c r="H49" s="420">
        <v>61043000</v>
      </c>
      <c r="I49" s="420">
        <v>112</v>
      </c>
      <c r="J49" s="420" t="s">
        <v>138</v>
      </c>
      <c r="K49" s="420">
        <v>70</v>
      </c>
      <c r="L49" s="420">
        <v>35</v>
      </c>
      <c r="M49" s="420">
        <v>71</v>
      </c>
      <c r="N49" s="420" t="s">
        <v>150</v>
      </c>
      <c r="O49" s="420">
        <v>162221000</v>
      </c>
      <c r="P49" s="421">
        <v>42453</v>
      </c>
      <c r="Q49" s="420">
        <v>7.0000000000000001E-3</v>
      </c>
      <c r="R49" s="421">
        <v>43546</v>
      </c>
      <c r="S49" s="420">
        <v>73000</v>
      </c>
      <c r="T49" s="420">
        <v>2</v>
      </c>
      <c r="U49" s="420" t="s">
        <v>140</v>
      </c>
      <c r="V49" s="420">
        <v>1</v>
      </c>
      <c r="W49" s="420" t="s">
        <v>141</v>
      </c>
      <c r="X49" s="420">
        <v>430</v>
      </c>
      <c r="Y49" s="420" t="s">
        <v>142</v>
      </c>
      <c r="Z49" s="383"/>
      <c r="AA49" s="386">
        <f t="shared" si="0"/>
        <v>5.1100000000000003</v>
      </c>
    </row>
    <row r="50" spans="1:27" ht="15">
      <c r="A50" s="420">
        <v>175</v>
      </c>
      <c r="B50" s="420" t="s">
        <v>133</v>
      </c>
      <c r="C50" s="420">
        <v>32300</v>
      </c>
      <c r="D50" s="420" t="s">
        <v>181</v>
      </c>
      <c r="E50" s="420" t="s">
        <v>182</v>
      </c>
      <c r="F50" s="420" t="s">
        <v>183</v>
      </c>
      <c r="G50" s="420" t="s">
        <v>137</v>
      </c>
      <c r="H50" s="420">
        <v>62864000</v>
      </c>
      <c r="I50" s="420">
        <v>208</v>
      </c>
      <c r="J50" s="420" t="s">
        <v>138</v>
      </c>
      <c r="K50" s="420">
        <v>107</v>
      </c>
      <c r="L50" s="420">
        <v>54</v>
      </c>
      <c r="M50" s="420">
        <v>33</v>
      </c>
      <c r="N50" s="420" t="s">
        <v>184</v>
      </c>
      <c r="O50" s="420">
        <v>978475000</v>
      </c>
      <c r="P50" s="421">
        <v>42464</v>
      </c>
      <c r="Q50" s="420">
        <v>3.8E-3</v>
      </c>
      <c r="R50" s="421">
        <v>42829</v>
      </c>
      <c r="S50" s="420">
        <v>670000</v>
      </c>
      <c r="T50" s="420">
        <v>2</v>
      </c>
      <c r="U50" s="420" t="s">
        <v>140</v>
      </c>
      <c r="V50" s="420">
        <v>1</v>
      </c>
      <c r="W50" s="420" t="s">
        <v>141</v>
      </c>
      <c r="X50" s="420">
        <v>1</v>
      </c>
      <c r="Y50" s="420" t="s">
        <v>164</v>
      </c>
      <c r="Z50" s="383"/>
      <c r="AA50" s="386">
        <f t="shared" si="0"/>
        <v>25.46</v>
      </c>
    </row>
    <row r="51" spans="1:27" ht="15">
      <c r="A51" s="420">
        <v>379</v>
      </c>
      <c r="B51" s="420" t="s">
        <v>133</v>
      </c>
      <c r="C51" s="420">
        <v>7054</v>
      </c>
      <c r="D51" s="420" t="s">
        <v>134</v>
      </c>
      <c r="E51" s="420" t="s">
        <v>135</v>
      </c>
      <c r="F51" s="420" t="s">
        <v>136</v>
      </c>
      <c r="G51" s="420" t="s">
        <v>137</v>
      </c>
      <c r="H51" s="420">
        <v>62016000</v>
      </c>
      <c r="I51" s="420">
        <v>203</v>
      </c>
      <c r="J51" s="420" t="s">
        <v>138</v>
      </c>
      <c r="K51" s="420">
        <v>97</v>
      </c>
      <c r="L51" s="420">
        <v>49</v>
      </c>
      <c r="M51" s="420">
        <v>31</v>
      </c>
      <c r="N51" s="420" t="s">
        <v>139</v>
      </c>
      <c r="O51" s="420">
        <v>1214837000</v>
      </c>
      <c r="P51" s="421">
        <v>42464</v>
      </c>
      <c r="Q51" s="420">
        <v>3.8E-3</v>
      </c>
      <c r="R51" s="421">
        <v>42829</v>
      </c>
      <c r="S51" s="420">
        <v>360000</v>
      </c>
      <c r="T51" s="420">
        <v>2</v>
      </c>
      <c r="U51" s="420" t="s">
        <v>140</v>
      </c>
      <c r="V51" s="420">
        <v>1</v>
      </c>
      <c r="W51" s="420" t="s">
        <v>141</v>
      </c>
      <c r="X51" s="420">
        <v>1</v>
      </c>
      <c r="Y51" s="420" t="s">
        <v>164</v>
      </c>
      <c r="Z51" s="383"/>
      <c r="AA51" s="386">
        <f t="shared" si="0"/>
        <v>13.680000000000001</v>
      </c>
    </row>
    <row r="52" spans="1:27" ht="15">
      <c r="A52" s="420">
        <v>380</v>
      </c>
      <c r="B52" s="420" t="s">
        <v>133</v>
      </c>
      <c r="C52" s="420">
        <v>7054</v>
      </c>
      <c r="D52" s="420" t="s">
        <v>134</v>
      </c>
      <c r="E52" s="420" t="s">
        <v>135</v>
      </c>
      <c r="F52" s="420" t="s">
        <v>136</v>
      </c>
      <c r="G52" s="420" t="s">
        <v>137</v>
      </c>
      <c r="H52" s="420">
        <v>62016000</v>
      </c>
      <c r="I52" s="420">
        <v>203</v>
      </c>
      <c r="J52" s="420" t="s">
        <v>138</v>
      </c>
      <c r="K52" s="420">
        <v>97</v>
      </c>
      <c r="L52" s="420">
        <v>49</v>
      </c>
      <c r="M52" s="420">
        <v>31</v>
      </c>
      <c r="N52" s="420" t="s">
        <v>139</v>
      </c>
      <c r="O52" s="420">
        <v>1214837000</v>
      </c>
      <c r="P52" s="421">
        <v>42465</v>
      </c>
      <c r="Q52" s="420">
        <v>3.8E-3</v>
      </c>
      <c r="R52" s="421">
        <v>42830</v>
      </c>
      <c r="S52" s="420">
        <v>190000</v>
      </c>
      <c r="T52" s="420">
        <v>2</v>
      </c>
      <c r="U52" s="420" t="s">
        <v>140</v>
      </c>
      <c r="V52" s="420">
        <v>1</v>
      </c>
      <c r="W52" s="420" t="s">
        <v>141</v>
      </c>
      <c r="X52" s="420">
        <v>1</v>
      </c>
      <c r="Y52" s="420" t="s">
        <v>164</v>
      </c>
      <c r="Z52" s="383"/>
      <c r="AA52" s="386">
        <f t="shared" si="0"/>
        <v>7.2200000000000006</v>
      </c>
    </row>
    <row r="53" spans="1:27" ht="15">
      <c r="A53" s="420">
        <v>176</v>
      </c>
      <c r="B53" s="420" t="s">
        <v>133</v>
      </c>
      <c r="C53" s="420">
        <v>32300</v>
      </c>
      <c r="D53" s="420" t="s">
        <v>181</v>
      </c>
      <c r="E53" s="420" t="s">
        <v>182</v>
      </c>
      <c r="F53" s="420" t="s">
        <v>183</v>
      </c>
      <c r="G53" s="420" t="s">
        <v>137</v>
      </c>
      <c r="H53" s="420">
        <v>62864000</v>
      </c>
      <c r="I53" s="420">
        <v>208</v>
      </c>
      <c r="J53" s="420" t="s">
        <v>138</v>
      </c>
      <c r="K53" s="420">
        <v>107</v>
      </c>
      <c r="L53" s="420">
        <v>54</v>
      </c>
      <c r="M53" s="420">
        <v>33</v>
      </c>
      <c r="N53" s="420" t="s">
        <v>184</v>
      </c>
      <c r="O53" s="420">
        <v>978475000</v>
      </c>
      <c r="P53" s="421">
        <v>42466</v>
      </c>
      <c r="Q53" s="420">
        <v>3.8E-3</v>
      </c>
      <c r="R53" s="421">
        <v>42831</v>
      </c>
      <c r="S53" s="420">
        <v>140000</v>
      </c>
      <c r="T53" s="420">
        <v>2</v>
      </c>
      <c r="U53" s="420" t="s">
        <v>140</v>
      </c>
      <c r="V53" s="420">
        <v>1</v>
      </c>
      <c r="W53" s="420" t="s">
        <v>141</v>
      </c>
      <c r="X53" s="420">
        <v>1</v>
      </c>
      <c r="Y53" s="420" t="s">
        <v>164</v>
      </c>
      <c r="Z53" s="383"/>
      <c r="AA53" s="386">
        <f t="shared" si="0"/>
        <v>5.32</v>
      </c>
    </row>
    <row r="54" spans="1:27" ht="15">
      <c r="A54" s="420">
        <v>207</v>
      </c>
      <c r="B54" s="420" t="s">
        <v>133</v>
      </c>
      <c r="C54" s="420">
        <v>6600</v>
      </c>
      <c r="D54" s="420" t="s">
        <v>185</v>
      </c>
      <c r="E54" s="420" t="s">
        <v>186</v>
      </c>
      <c r="F54" s="420" t="s">
        <v>187</v>
      </c>
      <c r="G54" s="420" t="s">
        <v>137</v>
      </c>
      <c r="H54" s="420">
        <v>62626000</v>
      </c>
      <c r="I54" s="420">
        <v>231</v>
      </c>
      <c r="J54" s="420" t="s">
        <v>138</v>
      </c>
      <c r="K54" s="420">
        <v>97</v>
      </c>
      <c r="L54" s="420">
        <v>49</v>
      </c>
      <c r="M54" s="420">
        <v>56</v>
      </c>
      <c r="N54" s="420" t="s">
        <v>188</v>
      </c>
      <c r="O54" s="420">
        <v>832259000</v>
      </c>
      <c r="P54" s="421">
        <v>42467</v>
      </c>
      <c r="Q54" s="420">
        <v>3.8E-3</v>
      </c>
      <c r="R54" s="421">
        <v>42832</v>
      </c>
      <c r="S54" s="420">
        <v>200000</v>
      </c>
      <c r="T54" s="420">
        <v>2</v>
      </c>
      <c r="U54" s="420" t="s">
        <v>140</v>
      </c>
      <c r="V54" s="420">
        <v>1</v>
      </c>
      <c r="W54" s="420" t="s">
        <v>141</v>
      </c>
      <c r="X54" s="420">
        <v>1</v>
      </c>
      <c r="Y54" s="420" t="s">
        <v>164</v>
      </c>
      <c r="Z54" s="383"/>
      <c r="AA54" s="386">
        <f t="shared" si="0"/>
        <v>7.6000000000000005</v>
      </c>
    </row>
    <row r="55" spans="1:27" ht="15">
      <c r="A55" s="420">
        <v>177</v>
      </c>
      <c r="B55" s="420" t="s">
        <v>133</v>
      </c>
      <c r="C55" s="420">
        <v>32300</v>
      </c>
      <c r="D55" s="420" t="s">
        <v>181</v>
      </c>
      <c r="E55" s="420" t="s">
        <v>182</v>
      </c>
      <c r="F55" s="420" t="s">
        <v>183</v>
      </c>
      <c r="G55" s="420" t="s">
        <v>137</v>
      </c>
      <c r="H55" s="420">
        <v>62864000</v>
      </c>
      <c r="I55" s="420">
        <v>208</v>
      </c>
      <c r="J55" s="420" t="s">
        <v>138</v>
      </c>
      <c r="K55" s="420">
        <v>107</v>
      </c>
      <c r="L55" s="420">
        <v>54</v>
      </c>
      <c r="M55" s="420">
        <v>33</v>
      </c>
      <c r="N55" s="420" t="s">
        <v>184</v>
      </c>
      <c r="O55" s="420">
        <v>978475000</v>
      </c>
      <c r="P55" s="421">
        <v>42471</v>
      </c>
      <c r="Q55" s="420">
        <v>3.8E-3</v>
      </c>
      <c r="R55" s="421">
        <v>42836</v>
      </c>
      <c r="S55" s="420">
        <v>300000</v>
      </c>
      <c r="T55" s="420">
        <v>2</v>
      </c>
      <c r="U55" s="420" t="s">
        <v>140</v>
      </c>
      <c r="V55" s="420">
        <v>1</v>
      </c>
      <c r="W55" s="420" t="s">
        <v>141</v>
      </c>
      <c r="X55" s="420">
        <v>1</v>
      </c>
      <c r="Y55" s="420" t="s">
        <v>164</v>
      </c>
      <c r="Z55" s="383"/>
      <c r="AA55" s="386">
        <f t="shared" si="0"/>
        <v>11.4</v>
      </c>
    </row>
    <row r="56" spans="1:27" ht="15">
      <c r="A56" s="420">
        <v>178</v>
      </c>
      <c r="B56" s="420" t="s">
        <v>133</v>
      </c>
      <c r="C56" s="420">
        <v>32300</v>
      </c>
      <c r="D56" s="420" t="s">
        <v>181</v>
      </c>
      <c r="E56" s="420" t="s">
        <v>182</v>
      </c>
      <c r="F56" s="420" t="s">
        <v>183</v>
      </c>
      <c r="G56" s="420" t="s">
        <v>137</v>
      </c>
      <c r="H56" s="420">
        <v>62864000</v>
      </c>
      <c r="I56" s="420">
        <v>208</v>
      </c>
      <c r="J56" s="420" t="s">
        <v>138</v>
      </c>
      <c r="K56" s="420">
        <v>107</v>
      </c>
      <c r="L56" s="420">
        <v>54</v>
      </c>
      <c r="M56" s="420">
        <v>33</v>
      </c>
      <c r="N56" s="420" t="s">
        <v>184</v>
      </c>
      <c r="O56" s="420">
        <v>978475000</v>
      </c>
      <c r="P56" s="421">
        <v>42472</v>
      </c>
      <c r="Q56" s="420">
        <v>3.8E-3</v>
      </c>
      <c r="R56" s="421">
        <v>42837</v>
      </c>
      <c r="S56" s="420">
        <v>950000</v>
      </c>
      <c r="T56" s="420">
        <v>2</v>
      </c>
      <c r="U56" s="420" t="s">
        <v>140</v>
      </c>
      <c r="V56" s="420">
        <v>1</v>
      </c>
      <c r="W56" s="420" t="s">
        <v>141</v>
      </c>
      <c r="X56" s="420">
        <v>1</v>
      </c>
      <c r="Y56" s="420" t="s">
        <v>164</v>
      </c>
      <c r="Z56" s="383"/>
      <c r="AA56" s="386">
        <f t="shared" si="0"/>
        <v>36.1</v>
      </c>
    </row>
    <row r="57" spans="1:27" ht="15">
      <c r="A57" s="420">
        <v>381</v>
      </c>
      <c r="B57" s="420" t="s">
        <v>133</v>
      </c>
      <c r="C57" s="420">
        <v>7054</v>
      </c>
      <c r="D57" s="420" t="s">
        <v>134</v>
      </c>
      <c r="E57" s="420" t="s">
        <v>135</v>
      </c>
      <c r="F57" s="420" t="s">
        <v>136</v>
      </c>
      <c r="G57" s="420" t="s">
        <v>137</v>
      </c>
      <c r="H57" s="420">
        <v>62016000</v>
      </c>
      <c r="I57" s="420">
        <v>203</v>
      </c>
      <c r="J57" s="420" t="s">
        <v>138</v>
      </c>
      <c r="K57" s="420">
        <v>97</v>
      </c>
      <c r="L57" s="420">
        <v>49</v>
      </c>
      <c r="M57" s="420">
        <v>31</v>
      </c>
      <c r="N57" s="420" t="s">
        <v>139</v>
      </c>
      <c r="O57" s="420">
        <v>1214837000</v>
      </c>
      <c r="P57" s="421">
        <v>42474</v>
      </c>
      <c r="Q57" s="420">
        <v>3.8E-3</v>
      </c>
      <c r="R57" s="421">
        <v>42839</v>
      </c>
      <c r="S57" s="420">
        <v>1100000</v>
      </c>
      <c r="T57" s="420">
        <v>2</v>
      </c>
      <c r="U57" s="420" t="s">
        <v>140</v>
      </c>
      <c r="V57" s="420">
        <v>1</v>
      </c>
      <c r="W57" s="420" t="s">
        <v>141</v>
      </c>
      <c r="X57" s="420">
        <v>1</v>
      </c>
      <c r="Y57" s="420" t="s">
        <v>164</v>
      </c>
      <c r="Z57" s="383"/>
      <c r="AA57" s="386">
        <f t="shared" si="0"/>
        <v>41.800000000000004</v>
      </c>
    </row>
    <row r="58" spans="1:27" ht="15">
      <c r="A58" s="420">
        <v>139</v>
      </c>
      <c r="B58" s="420" t="s">
        <v>133</v>
      </c>
      <c r="C58" s="420">
        <v>28901</v>
      </c>
      <c r="D58" s="420" t="s">
        <v>189</v>
      </c>
      <c r="E58" s="420" t="s">
        <v>190</v>
      </c>
      <c r="F58" s="420" t="s">
        <v>145</v>
      </c>
      <c r="G58" s="420" t="s">
        <v>137</v>
      </c>
      <c r="H58" s="420">
        <v>61048000</v>
      </c>
      <c r="I58" s="420">
        <v>248</v>
      </c>
      <c r="J58" s="420" t="s">
        <v>138</v>
      </c>
      <c r="K58" s="420">
        <v>74</v>
      </c>
      <c r="L58" s="420">
        <v>37</v>
      </c>
      <c r="M58" s="420">
        <v>89</v>
      </c>
      <c r="N58" s="420" t="s">
        <v>146</v>
      </c>
      <c r="O58" s="420">
        <v>85354000</v>
      </c>
      <c r="P58" s="421">
        <v>42475</v>
      </c>
      <c r="Q58" s="420">
        <v>3.8E-3</v>
      </c>
      <c r="R58" s="421">
        <v>42839</v>
      </c>
      <c r="S58" s="420">
        <v>3000000</v>
      </c>
      <c r="T58" s="420">
        <v>2</v>
      </c>
      <c r="U58" s="420" t="s">
        <v>140</v>
      </c>
      <c r="V58" s="420">
        <v>1</v>
      </c>
      <c r="W58" s="420" t="s">
        <v>141</v>
      </c>
      <c r="X58" s="420">
        <v>1</v>
      </c>
      <c r="Y58" s="420" t="s">
        <v>164</v>
      </c>
      <c r="Z58" s="383"/>
      <c r="AA58" s="386">
        <f t="shared" si="0"/>
        <v>114</v>
      </c>
    </row>
    <row r="59" spans="1:27" ht="15">
      <c r="A59" s="420">
        <v>382</v>
      </c>
      <c r="B59" s="420" t="s">
        <v>133</v>
      </c>
      <c r="C59" s="420">
        <v>7054</v>
      </c>
      <c r="D59" s="420" t="s">
        <v>134</v>
      </c>
      <c r="E59" s="420" t="s">
        <v>135</v>
      </c>
      <c r="F59" s="420" t="s">
        <v>136</v>
      </c>
      <c r="G59" s="420" t="s">
        <v>137</v>
      </c>
      <c r="H59" s="420">
        <v>62016000</v>
      </c>
      <c r="I59" s="420">
        <v>203</v>
      </c>
      <c r="J59" s="420" t="s">
        <v>138</v>
      </c>
      <c r="K59" s="420">
        <v>97</v>
      </c>
      <c r="L59" s="420">
        <v>49</v>
      </c>
      <c r="M59" s="420">
        <v>31</v>
      </c>
      <c r="N59" s="420" t="s">
        <v>139</v>
      </c>
      <c r="O59" s="420">
        <v>1214837000</v>
      </c>
      <c r="P59" s="421">
        <v>42475</v>
      </c>
      <c r="Q59" s="420">
        <v>3.8E-3</v>
      </c>
      <c r="R59" s="421">
        <v>42839</v>
      </c>
      <c r="S59" s="420">
        <v>322000</v>
      </c>
      <c r="T59" s="420">
        <v>2</v>
      </c>
      <c r="U59" s="420" t="s">
        <v>140</v>
      </c>
      <c r="V59" s="420">
        <v>1</v>
      </c>
      <c r="W59" s="420" t="s">
        <v>141</v>
      </c>
      <c r="X59" s="420">
        <v>1</v>
      </c>
      <c r="Y59" s="420" t="s">
        <v>164</v>
      </c>
      <c r="Z59" s="383"/>
      <c r="AA59" s="386">
        <f t="shared" si="0"/>
        <v>12.236000000000001</v>
      </c>
    </row>
    <row r="60" spans="1:27" ht="15">
      <c r="A60" s="420">
        <v>39</v>
      </c>
      <c r="B60" s="420" t="s">
        <v>133</v>
      </c>
      <c r="C60" s="420">
        <v>38106</v>
      </c>
      <c r="D60" s="420" t="s">
        <v>191</v>
      </c>
      <c r="E60" s="420" t="s">
        <v>192</v>
      </c>
      <c r="F60" s="420" t="s">
        <v>193</v>
      </c>
      <c r="G60" s="420" t="s">
        <v>137</v>
      </c>
      <c r="H60" s="420">
        <v>62271000</v>
      </c>
      <c r="I60" s="420">
        <v>195</v>
      </c>
      <c r="J60" s="420" t="s">
        <v>138</v>
      </c>
      <c r="K60" s="420">
        <v>116</v>
      </c>
      <c r="L60" s="420">
        <v>58</v>
      </c>
      <c r="M60" s="420">
        <v>95</v>
      </c>
      <c r="N60" s="420" t="s">
        <v>194</v>
      </c>
      <c r="O60" s="420">
        <v>57826000</v>
      </c>
      <c r="P60" s="421">
        <v>42482</v>
      </c>
      <c r="Q60" s="420">
        <v>3.8E-3</v>
      </c>
      <c r="R60" s="421">
        <v>42846</v>
      </c>
      <c r="S60" s="420">
        <v>410000</v>
      </c>
      <c r="T60" s="420">
        <v>2</v>
      </c>
      <c r="U60" s="420" t="s">
        <v>140</v>
      </c>
      <c r="V60" s="420">
        <v>1</v>
      </c>
      <c r="W60" s="420" t="s">
        <v>141</v>
      </c>
      <c r="X60" s="420">
        <v>1</v>
      </c>
      <c r="Y60" s="420" t="s">
        <v>164</v>
      </c>
      <c r="Z60" s="383"/>
      <c r="AA60" s="386">
        <f t="shared" si="0"/>
        <v>15.58</v>
      </c>
    </row>
    <row r="61" spans="1:27" ht="15">
      <c r="A61" s="420">
        <v>383</v>
      </c>
      <c r="B61" s="420" t="s">
        <v>133</v>
      </c>
      <c r="C61" s="420">
        <v>7054</v>
      </c>
      <c r="D61" s="420" t="s">
        <v>134</v>
      </c>
      <c r="E61" s="420" t="s">
        <v>135</v>
      </c>
      <c r="F61" s="420" t="s">
        <v>136</v>
      </c>
      <c r="G61" s="420" t="s">
        <v>137</v>
      </c>
      <c r="H61" s="420">
        <v>62016000</v>
      </c>
      <c r="I61" s="420">
        <v>203</v>
      </c>
      <c r="J61" s="420" t="s">
        <v>138</v>
      </c>
      <c r="K61" s="420">
        <v>97</v>
      </c>
      <c r="L61" s="420">
        <v>49</v>
      </c>
      <c r="M61" s="420">
        <v>31</v>
      </c>
      <c r="N61" s="420" t="s">
        <v>139</v>
      </c>
      <c r="O61" s="420">
        <v>1214837000</v>
      </c>
      <c r="P61" s="421">
        <v>42482</v>
      </c>
      <c r="Q61" s="420">
        <v>3.8E-3</v>
      </c>
      <c r="R61" s="421">
        <v>42846</v>
      </c>
      <c r="S61" s="420">
        <v>350000</v>
      </c>
      <c r="T61" s="420">
        <v>2</v>
      </c>
      <c r="U61" s="420" t="s">
        <v>140</v>
      </c>
      <c r="V61" s="420">
        <v>1</v>
      </c>
      <c r="W61" s="420" t="s">
        <v>141</v>
      </c>
      <c r="X61" s="420">
        <v>1</v>
      </c>
      <c r="Y61" s="420" t="s">
        <v>164</v>
      </c>
      <c r="Z61" s="383"/>
      <c r="AA61" s="386">
        <f t="shared" si="0"/>
        <v>13.3</v>
      </c>
    </row>
    <row r="62" spans="1:27" ht="15">
      <c r="A62" s="420">
        <v>692</v>
      </c>
      <c r="B62" s="420" t="s">
        <v>133</v>
      </c>
      <c r="C62" s="420">
        <v>25357</v>
      </c>
      <c r="D62" s="420" t="s">
        <v>147</v>
      </c>
      <c r="E62" s="420" t="s">
        <v>148</v>
      </c>
      <c r="F62" s="420" t="s">
        <v>149</v>
      </c>
      <c r="G62" s="420" t="s">
        <v>137</v>
      </c>
      <c r="H62" s="420">
        <v>61043000</v>
      </c>
      <c r="I62" s="420">
        <v>112</v>
      </c>
      <c r="J62" s="420" t="s">
        <v>138</v>
      </c>
      <c r="K62" s="420">
        <v>70</v>
      </c>
      <c r="L62" s="420">
        <v>35</v>
      </c>
      <c r="M62" s="420">
        <v>71</v>
      </c>
      <c r="N62" s="420" t="s">
        <v>150</v>
      </c>
      <c r="O62" s="420">
        <v>162221000</v>
      </c>
      <c r="P62" s="421">
        <v>42482</v>
      </c>
      <c r="Q62" s="420">
        <v>7.1999999999999998E-3</v>
      </c>
      <c r="R62" s="421">
        <v>43574</v>
      </c>
      <c r="S62" s="420">
        <v>35000</v>
      </c>
      <c r="T62" s="420">
        <v>2</v>
      </c>
      <c r="U62" s="420" t="s">
        <v>140</v>
      </c>
      <c r="V62" s="420">
        <v>1</v>
      </c>
      <c r="W62" s="420" t="s">
        <v>141</v>
      </c>
      <c r="X62" s="420">
        <v>430</v>
      </c>
      <c r="Y62" s="420" t="s">
        <v>142</v>
      </c>
      <c r="Z62" s="383"/>
      <c r="AA62" s="386">
        <f t="shared" si="0"/>
        <v>2.52</v>
      </c>
    </row>
    <row r="63" spans="1:27" ht="15">
      <c r="A63" s="420">
        <v>615</v>
      </c>
      <c r="B63" s="420" t="s">
        <v>133</v>
      </c>
      <c r="C63" s="420">
        <v>15200</v>
      </c>
      <c r="D63" s="420" t="s">
        <v>173</v>
      </c>
      <c r="E63" s="420" t="s">
        <v>174</v>
      </c>
      <c r="F63" s="420" t="s">
        <v>175</v>
      </c>
      <c r="G63" s="420" t="s">
        <v>137</v>
      </c>
      <c r="H63" s="420">
        <v>61019000</v>
      </c>
      <c r="I63" s="420">
        <v>220</v>
      </c>
      <c r="J63" s="420" t="s">
        <v>138</v>
      </c>
      <c r="K63" s="420">
        <v>74</v>
      </c>
      <c r="L63" s="420">
        <v>37</v>
      </c>
      <c r="M63" s="420">
        <v>89</v>
      </c>
      <c r="N63" s="420" t="s">
        <v>146</v>
      </c>
      <c r="O63" s="420">
        <v>130288000</v>
      </c>
      <c r="P63" s="421">
        <v>42486</v>
      </c>
      <c r="Q63" s="420">
        <v>3.8E-3</v>
      </c>
      <c r="R63" s="421">
        <v>42850</v>
      </c>
      <c r="S63" s="420">
        <v>500000</v>
      </c>
      <c r="T63" s="420">
        <v>2</v>
      </c>
      <c r="U63" s="420" t="s">
        <v>140</v>
      </c>
      <c r="V63" s="420">
        <v>1</v>
      </c>
      <c r="W63" s="420" t="s">
        <v>141</v>
      </c>
      <c r="X63" s="420">
        <v>1</v>
      </c>
      <c r="Y63" s="420" t="s">
        <v>164</v>
      </c>
      <c r="Z63" s="383"/>
      <c r="AA63" s="386">
        <f>(S63*Q63%)</f>
        <v>19</v>
      </c>
    </row>
    <row r="64" spans="1:27" ht="15">
      <c r="A64" s="420">
        <v>78</v>
      </c>
      <c r="B64" s="420" t="s">
        <v>133</v>
      </c>
      <c r="C64" s="420">
        <v>21603</v>
      </c>
      <c r="D64" s="420" t="s">
        <v>195</v>
      </c>
      <c r="E64" s="420" t="s">
        <v>196</v>
      </c>
      <c r="F64" s="420" t="s">
        <v>197</v>
      </c>
      <c r="G64" s="420" t="s">
        <v>137</v>
      </c>
      <c r="H64" s="420">
        <v>61039000</v>
      </c>
      <c r="I64" s="420">
        <v>217</v>
      </c>
      <c r="J64" s="420" t="s">
        <v>138</v>
      </c>
      <c r="K64" s="420">
        <v>74</v>
      </c>
      <c r="L64" s="420">
        <v>37</v>
      </c>
      <c r="M64" s="420">
        <v>89</v>
      </c>
      <c r="N64" s="420" t="s">
        <v>146</v>
      </c>
      <c r="O64" s="420">
        <v>204539000</v>
      </c>
      <c r="P64" s="421">
        <v>42493</v>
      </c>
      <c r="Q64" s="420">
        <v>3.8999999999999998E-3</v>
      </c>
      <c r="R64" s="421">
        <v>42858</v>
      </c>
      <c r="S64" s="420">
        <v>600000</v>
      </c>
      <c r="T64" s="420">
        <v>2</v>
      </c>
      <c r="U64" s="420" t="s">
        <v>140</v>
      </c>
      <c r="V64" s="420">
        <v>1</v>
      </c>
      <c r="W64" s="420" t="s">
        <v>141</v>
      </c>
      <c r="X64" s="420">
        <v>1</v>
      </c>
      <c r="Y64" s="420" t="s">
        <v>164</v>
      </c>
      <c r="Z64" s="383"/>
      <c r="AA64" s="386">
        <f t="shared" ref="AA64:AA127" si="1">(S64*Q64%)</f>
        <v>23.4</v>
      </c>
    </row>
    <row r="65" spans="1:27" ht="15">
      <c r="A65" s="420">
        <v>179</v>
      </c>
      <c r="B65" s="420" t="s">
        <v>133</v>
      </c>
      <c r="C65" s="420">
        <v>32300</v>
      </c>
      <c r="D65" s="420" t="s">
        <v>181</v>
      </c>
      <c r="E65" s="420" t="s">
        <v>182</v>
      </c>
      <c r="F65" s="420" t="s">
        <v>183</v>
      </c>
      <c r="G65" s="420" t="s">
        <v>137</v>
      </c>
      <c r="H65" s="420">
        <v>62864000</v>
      </c>
      <c r="I65" s="420">
        <v>208</v>
      </c>
      <c r="J65" s="420" t="s">
        <v>138</v>
      </c>
      <c r="K65" s="420">
        <v>107</v>
      </c>
      <c r="L65" s="420">
        <v>54</v>
      </c>
      <c r="M65" s="420">
        <v>33</v>
      </c>
      <c r="N65" s="420" t="s">
        <v>184</v>
      </c>
      <c r="O65" s="420">
        <v>978475000</v>
      </c>
      <c r="P65" s="421">
        <v>42493</v>
      </c>
      <c r="Q65" s="420">
        <v>3.8999999999999998E-3</v>
      </c>
      <c r="R65" s="421">
        <v>42858</v>
      </c>
      <c r="S65" s="420">
        <v>325000</v>
      </c>
      <c r="T65" s="420">
        <v>2</v>
      </c>
      <c r="U65" s="420" t="s">
        <v>140</v>
      </c>
      <c r="V65" s="420">
        <v>1</v>
      </c>
      <c r="W65" s="420" t="s">
        <v>141</v>
      </c>
      <c r="X65" s="420">
        <v>1</v>
      </c>
      <c r="Y65" s="420" t="s">
        <v>164</v>
      </c>
      <c r="Z65" s="383"/>
      <c r="AA65" s="386">
        <f t="shared" si="1"/>
        <v>12.674999999999999</v>
      </c>
    </row>
    <row r="66" spans="1:27" ht="15">
      <c r="A66" s="420">
        <v>384</v>
      </c>
      <c r="B66" s="420" t="s">
        <v>133</v>
      </c>
      <c r="C66" s="420">
        <v>7054</v>
      </c>
      <c r="D66" s="420" t="s">
        <v>134</v>
      </c>
      <c r="E66" s="420" t="s">
        <v>135</v>
      </c>
      <c r="F66" s="420" t="s">
        <v>136</v>
      </c>
      <c r="G66" s="420" t="s">
        <v>137</v>
      </c>
      <c r="H66" s="420">
        <v>62016000</v>
      </c>
      <c r="I66" s="420">
        <v>203</v>
      </c>
      <c r="J66" s="420" t="s">
        <v>138</v>
      </c>
      <c r="K66" s="420">
        <v>97</v>
      </c>
      <c r="L66" s="420">
        <v>49</v>
      </c>
      <c r="M66" s="420">
        <v>31</v>
      </c>
      <c r="N66" s="420" t="s">
        <v>139</v>
      </c>
      <c r="O66" s="420">
        <v>1214837000</v>
      </c>
      <c r="P66" s="421">
        <v>42493</v>
      </c>
      <c r="Q66" s="420">
        <v>3.8999999999999998E-3</v>
      </c>
      <c r="R66" s="421">
        <v>42858</v>
      </c>
      <c r="S66" s="420">
        <v>900000</v>
      </c>
      <c r="T66" s="420">
        <v>2</v>
      </c>
      <c r="U66" s="420" t="s">
        <v>140</v>
      </c>
      <c r="V66" s="420">
        <v>1</v>
      </c>
      <c r="W66" s="420" t="s">
        <v>141</v>
      </c>
      <c r="X66" s="420">
        <v>1</v>
      </c>
      <c r="Y66" s="420" t="s">
        <v>164</v>
      </c>
      <c r="Z66" s="383"/>
      <c r="AA66" s="386">
        <f t="shared" si="1"/>
        <v>35.1</v>
      </c>
    </row>
    <row r="67" spans="1:27" ht="15">
      <c r="A67" s="420">
        <v>385</v>
      </c>
      <c r="B67" s="420" t="s">
        <v>133</v>
      </c>
      <c r="C67" s="420">
        <v>7054</v>
      </c>
      <c r="D67" s="420" t="s">
        <v>134</v>
      </c>
      <c r="E67" s="420" t="s">
        <v>135</v>
      </c>
      <c r="F67" s="420" t="s">
        <v>136</v>
      </c>
      <c r="G67" s="420" t="s">
        <v>137</v>
      </c>
      <c r="H67" s="420">
        <v>62016000</v>
      </c>
      <c r="I67" s="420">
        <v>203</v>
      </c>
      <c r="J67" s="420" t="s">
        <v>138</v>
      </c>
      <c r="K67" s="420">
        <v>97</v>
      </c>
      <c r="L67" s="420">
        <v>49</v>
      </c>
      <c r="M67" s="420">
        <v>31</v>
      </c>
      <c r="N67" s="420" t="s">
        <v>139</v>
      </c>
      <c r="O67" s="420">
        <v>1214837000</v>
      </c>
      <c r="P67" s="421">
        <v>42496</v>
      </c>
      <c r="Q67" s="420">
        <v>3.8999999999999998E-3</v>
      </c>
      <c r="R67" s="421">
        <v>42860</v>
      </c>
      <c r="S67" s="420">
        <v>2055000</v>
      </c>
      <c r="T67" s="420">
        <v>2</v>
      </c>
      <c r="U67" s="420" t="s">
        <v>140</v>
      </c>
      <c r="V67" s="420">
        <v>1</v>
      </c>
      <c r="W67" s="420" t="s">
        <v>141</v>
      </c>
      <c r="X67" s="420">
        <v>1</v>
      </c>
      <c r="Y67" s="420" t="s">
        <v>164</v>
      </c>
      <c r="Z67" s="383"/>
      <c r="AA67" s="386">
        <f t="shared" si="1"/>
        <v>80.144999999999996</v>
      </c>
    </row>
    <row r="68" spans="1:27" ht="15">
      <c r="A68" s="420">
        <v>386</v>
      </c>
      <c r="B68" s="420" t="s">
        <v>133</v>
      </c>
      <c r="C68" s="420">
        <v>7054</v>
      </c>
      <c r="D68" s="420" t="s">
        <v>134</v>
      </c>
      <c r="E68" s="420" t="s">
        <v>135</v>
      </c>
      <c r="F68" s="420" t="s">
        <v>136</v>
      </c>
      <c r="G68" s="420" t="s">
        <v>137</v>
      </c>
      <c r="H68" s="420">
        <v>62016000</v>
      </c>
      <c r="I68" s="420">
        <v>203</v>
      </c>
      <c r="J68" s="420" t="s">
        <v>138</v>
      </c>
      <c r="K68" s="420">
        <v>97</v>
      </c>
      <c r="L68" s="420">
        <v>49</v>
      </c>
      <c r="M68" s="420">
        <v>31</v>
      </c>
      <c r="N68" s="420" t="s">
        <v>139</v>
      </c>
      <c r="O68" s="420">
        <v>1214837000</v>
      </c>
      <c r="P68" s="421">
        <v>42496</v>
      </c>
      <c r="Q68" s="420">
        <v>7.3000000000000001E-3</v>
      </c>
      <c r="R68" s="421">
        <v>43591</v>
      </c>
      <c r="S68" s="420">
        <v>30000</v>
      </c>
      <c r="T68" s="420">
        <v>2</v>
      </c>
      <c r="U68" s="420" t="s">
        <v>140</v>
      </c>
      <c r="V68" s="420">
        <v>1</v>
      </c>
      <c r="W68" s="420" t="s">
        <v>141</v>
      </c>
      <c r="X68" s="420">
        <v>430</v>
      </c>
      <c r="Y68" s="420" t="s">
        <v>142</v>
      </c>
      <c r="Z68" s="383"/>
      <c r="AA68" s="386">
        <f t="shared" si="1"/>
        <v>2.19</v>
      </c>
    </row>
    <row r="69" spans="1:27" ht="15">
      <c r="A69" s="420">
        <v>544</v>
      </c>
      <c r="B69" s="420" t="s">
        <v>133</v>
      </c>
      <c r="C69" s="420">
        <v>31303</v>
      </c>
      <c r="D69" s="420" t="s">
        <v>160</v>
      </c>
      <c r="E69" s="420" t="s">
        <v>161</v>
      </c>
      <c r="F69" s="420" t="s">
        <v>162</v>
      </c>
      <c r="G69" s="420" t="s">
        <v>137</v>
      </c>
      <c r="H69" s="420">
        <v>62930000</v>
      </c>
      <c r="I69" s="420">
        <v>241</v>
      </c>
      <c r="J69" s="420" t="s">
        <v>138</v>
      </c>
      <c r="K69" s="420">
        <v>117</v>
      </c>
      <c r="L69" s="420">
        <v>59</v>
      </c>
      <c r="M69" s="420">
        <v>100</v>
      </c>
      <c r="N69" s="420" t="s">
        <v>163</v>
      </c>
      <c r="O69" s="420">
        <v>1264856000</v>
      </c>
      <c r="P69" s="421">
        <v>42499</v>
      </c>
      <c r="Q69" s="420">
        <v>3.8999999999999998E-3</v>
      </c>
      <c r="R69" s="421">
        <v>42863</v>
      </c>
      <c r="S69" s="420">
        <v>5913600</v>
      </c>
      <c r="T69" s="420">
        <v>2</v>
      </c>
      <c r="U69" s="420" t="s">
        <v>140</v>
      </c>
      <c r="V69" s="420">
        <v>1</v>
      </c>
      <c r="W69" s="420" t="s">
        <v>141</v>
      </c>
      <c r="X69" s="420">
        <v>1</v>
      </c>
      <c r="Y69" s="420" t="s">
        <v>164</v>
      </c>
      <c r="Z69" s="383"/>
      <c r="AA69" s="386">
        <f t="shared" si="1"/>
        <v>230.63040000000001</v>
      </c>
    </row>
    <row r="70" spans="1:27" ht="15">
      <c r="A70" s="420">
        <v>596</v>
      </c>
      <c r="B70" s="420" t="s">
        <v>133</v>
      </c>
      <c r="C70" s="420">
        <v>28853</v>
      </c>
      <c r="D70" s="420" t="s">
        <v>143</v>
      </c>
      <c r="E70" s="420" t="s">
        <v>144</v>
      </c>
      <c r="F70" s="420" t="s">
        <v>145</v>
      </c>
      <c r="G70" s="420" t="s">
        <v>137</v>
      </c>
      <c r="H70" s="420">
        <v>61048000</v>
      </c>
      <c r="I70" s="420">
        <v>233</v>
      </c>
      <c r="J70" s="420" t="s">
        <v>138</v>
      </c>
      <c r="K70" s="420">
        <v>74</v>
      </c>
      <c r="L70" s="420">
        <v>37</v>
      </c>
      <c r="M70" s="420">
        <v>89</v>
      </c>
      <c r="N70" s="420" t="s">
        <v>146</v>
      </c>
      <c r="O70" s="420">
        <v>207658000</v>
      </c>
      <c r="P70" s="421">
        <v>42499</v>
      </c>
      <c r="Q70" s="420">
        <v>3.8999999999999998E-3</v>
      </c>
      <c r="R70" s="421">
        <v>42864</v>
      </c>
      <c r="S70" s="420">
        <v>190000</v>
      </c>
      <c r="T70" s="420">
        <v>2</v>
      </c>
      <c r="U70" s="420" t="s">
        <v>140</v>
      </c>
      <c r="V70" s="420">
        <v>1</v>
      </c>
      <c r="W70" s="420" t="s">
        <v>141</v>
      </c>
      <c r="X70" s="420">
        <v>1</v>
      </c>
      <c r="Y70" s="420" t="s">
        <v>164</v>
      </c>
      <c r="Z70" s="383"/>
      <c r="AA70" s="386">
        <f t="shared" si="1"/>
        <v>7.41</v>
      </c>
    </row>
    <row r="71" spans="1:27" ht="15">
      <c r="A71" s="420">
        <v>180</v>
      </c>
      <c r="B71" s="420" t="s">
        <v>133</v>
      </c>
      <c r="C71" s="420">
        <v>32300</v>
      </c>
      <c r="D71" s="420" t="s">
        <v>181</v>
      </c>
      <c r="E71" s="420" t="s">
        <v>182</v>
      </c>
      <c r="F71" s="420" t="s">
        <v>183</v>
      </c>
      <c r="G71" s="420" t="s">
        <v>137</v>
      </c>
      <c r="H71" s="420">
        <v>62864000</v>
      </c>
      <c r="I71" s="420">
        <v>208</v>
      </c>
      <c r="J71" s="420" t="s">
        <v>138</v>
      </c>
      <c r="K71" s="420">
        <v>107</v>
      </c>
      <c r="L71" s="420">
        <v>54</v>
      </c>
      <c r="M71" s="420">
        <v>33</v>
      </c>
      <c r="N71" s="420" t="s">
        <v>184</v>
      </c>
      <c r="O71" s="420">
        <v>978475000</v>
      </c>
      <c r="P71" s="421">
        <v>42501</v>
      </c>
      <c r="Q71" s="420">
        <v>3.8999999999999998E-3</v>
      </c>
      <c r="R71" s="421">
        <v>42866</v>
      </c>
      <c r="S71" s="420">
        <v>50000</v>
      </c>
      <c r="T71" s="420">
        <v>2</v>
      </c>
      <c r="U71" s="420" t="s">
        <v>140</v>
      </c>
      <c r="V71" s="420">
        <v>1</v>
      </c>
      <c r="W71" s="420" t="s">
        <v>141</v>
      </c>
      <c r="X71" s="420">
        <v>1</v>
      </c>
      <c r="Y71" s="420" t="s">
        <v>164</v>
      </c>
      <c r="Z71" s="383"/>
      <c r="AA71" s="386">
        <f t="shared" si="1"/>
        <v>1.95</v>
      </c>
    </row>
    <row r="72" spans="1:27" ht="15">
      <c r="A72" s="420">
        <v>545</v>
      </c>
      <c r="B72" s="420" t="s">
        <v>133</v>
      </c>
      <c r="C72" s="420">
        <v>31303</v>
      </c>
      <c r="D72" s="420" t="s">
        <v>160</v>
      </c>
      <c r="E72" s="420" t="s">
        <v>161</v>
      </c>
      <c r="F72" s="420" t="s">
        <v>162</v>
      </c>
      <c r="G72" s="420" t="s">
        <v>137</v>
      </c>
      <c r="H72" s="420">
        <v>62930000</v>
      </c>
      <c r="I72" s="420">
        <v>241</v>
      </c>
      <c r="J72" s="420" t="s">
        <v>138</v>
      </c>
      <c r="K72" s="420">
        <v>117</v>
      </c>
      <c r="L72" s="420">
        <v>59</v>
      </c>
      <c r="M72" s="420">
        <v>100</v>
      </c>
      <c r="N72" s="420" t="s">
        <v>163</v>
      </c>
      <c r="O72" s="420">
        <v>1264856000</v>
      </c>
      <c r="P72" s="421">
        <v>42501</v>
      </c>
      <c r="Q72" s="420">
        <v>3.8E-3</v>
      </c>
      <c r="R72" s="421">
        <v>42831</v>
      </c>
      <c r="S72" s="420">
        <v>13763000</v>
      </c>
      <c r="T72" s="420">
        <v>2</v>
      </c>
      <c r="U72" s="420" t="s">
        <v>140</v>
      </c>
      <c r="V72" s="420">
        <v>1</v>
      </c>
      <c r="W72" s="420" t="s">
        <v>141</v>
      </c>
      <c r="X72" s="420">
        <v>1</v>
      </c>
      <c r="Y72" s="420" t="s">
        <v>164</v>
      </c>
      <c r="Z72" s="383"/>
      <c r="AA72" s="386">
        <f t="shared" si="1"/>
        <v>522.99400000000003</v>
      </c>
    </row>
    <row r="73" spans="1:27" ht="15">
      <c r="A73" s="420">
        <v>387</v>
      </c>
      <c r="B73" s="420" t="s">
        <v>133</v>
      </c>
      <c r="C73" s="420">
        <v>7054</v>
      </c>
      <c r="D73" s="420" t="s">
        <v>134</v>
      </c>
      <c r="E73" s="420" t="s">
        <v>135</v>
      </c>
      <c r="F73" s="420" t="s">
        <v>136</v>
      </c>
      <c r="G73" s="420" t="s">
        <v>137</v>
      </c>
      <c r="H73" s="420">
        <v>62016000</v>
      </c>
      <c r="I73" s="420">
        <v>203</v>
      </c>
      <c r="J73" s="420" t="s">
        <v>138</v>
      </c>
      <c r="K73" s="420">
        <v>97</v>
      </c>
      <c r="L73" s="420">
        <v>49</v>
      </c>
      <c r="M73" s="420">
        <v>31</v>
      </c>
      <c r="N73" s="420" t="s">
        <v>139</v>
      </c>
      <c r="O73" s="420">
        <v>1214837000</v>
      </c>
      <c r="P73" s="421">
        <v>42503</v>
      </c>
      <c r="Q73" s="420">
        <v>3.8999999999999998E-3</v>
      </c>
      <c r="R73" s="421">
        <v>42867</v>
      </c>
      <c r="S73" s="420">
        <v>500000</v>
      </c>
      <c r="T73" s="420">
        <v>2</v>
      </c>
      <c r="U73" s="420" t="s">
        <v>140</v>
      </c>
      <c r="V73" s="420">
        <v>1</v>
      </c>
      <c r="W73" s="420" t="s">
        <v>141</v>
      </c>
      <c r="X73" s="420">
        <v>1</v>
      </c>
      <c r="Y73" s="420" t="s">
        <v>164</v>
      </c>
      <c r="Z73" s="383"/>
      <c r="AA73" s="386">
        <f t="shared" si="1"/>
        <v>19.5</v>
      </c>
    </row>
    <row r="74" spans="1:27" ht="15">
      <c r="A74" s="420">
        <v>181</v>
      </c>
      <c r="B74" s="420" t="s">
        <v>133</v>
      </c>
      <c r="C74" s="420">
        <v>32300</v>
      </c>
      <c r="D74" s="420" t="s">
        <v>181</v>
      </c>
      <c r="E74" s="420" t="s">
        <v>182</v>
      </c>
      <c r="F74" s="420" t="s">
        <v>183</v>
      </c>
      <c r="G74" s="420" t="s">
        <v>137</v>
      </c>
      <c r="H74" s="420">
        <v>62864000</v>
      </c>
      <c r="I74" s="420">
        <v>208</v>
      </c>
      <c r="J74" s="420" t="s">
        <v>138</v>
      </c>
      <c r="K74" s="420">
        <v>107</v>
      </c>
      <c r="L74" s="420">
        <v>54</v>
      </c>
      <c r="M74" s="420">
        <v>33</v>
      </c>
      <c r="N74" s="420" t="s">
        <v>184</v>
      </c>
      <c r="O74" s="420">
        <v>978475000</v>
      </c>
      <c r="P74" s="421">
        <v>42506</v>
      </c>
      <c r="Q74" s="420">
        <v>3.8999999999999998E-3</v>
      </c>
      <c r="R74" s="421">
        <v>42871</v>
      </c>
      <c r="S74" s="420">
        <v>300000</v>
      </c>
      <c r="T74" s="420">
        <v>2</v>
      </c>
      <c r="U74" s="420" t="s">
        <v>140</v>
      </c>
      <c r="V74" s="420">
        <v>1</v>
      </c>
      <c r="W74" s="420" t="s">
        <v>141</v>
      </c>
      <c r="X74" s="420">
        <v>1</v>
      </c>
      <c r="Y74" s="420" t="s">
        <v>164</v>
      </c>
      <c r="Z74" s="383"/>
      <c r="AA74" s="386">
        <f t="shared" si="1"/>
        <v>11.7</v>
      </c>
    </row>
    <row r="75" spans="1:27" ht="15">
      <c r="A75" s="420">
        <v>573</v>
      </c>
      <c r="B75" s="420" t="s">
        <v>198</v>
      </c>
      <c r="C75" s="420">
        <v>45298</v>
      </c>
      <c r="D75" s="420" t="s">
        <v>199</v>
      </c>
      <c r="E75" s="420" t="s">
        <v>200</v>
      </c>
      <c r="F75" s="420" t="s">
        <v>201</v>
      </c>
      <c r="G75" s="420" t="s">
        <v>137</v>
      </c>
      <c r="H75" s="420">
        <v>61074000</v>
      </c>
      <c r="I75" s="420">
        <v>111</v>
      </c>
      <c r="J75" s="420" t="s">
        <v>138</v>
      </c>
      <c r="K75" s="420">
        <v>74</v>
      </c>
      <c r="L75" s="420">
        <v>37</v>
      </c>
      <c r="M75" s="420">
        <v>8</v>
      </c>
      <c r="N75" s="420" t="s">
        <v>168</v>
      </c>
      <c r="O75" s="420">
        <v>10957000</v>
      </c>
      <c r="P75" s="421">
        <v>42510</v>
      </c>
      <c r="Q75" s="420">
        <v>1.7299999999999999E-2</v>
      </c>
      <c r="R75" s="421">
        <v>43238</v>
      </c>
      <c r="S75" s="420">
        <v>100000</v>
      </c>
      <c r="T75" s="420">
        <v>4</v>
      </c>
      <c r="U75" s="420" t="s">
        <v>202</v>
      </c>
      <c r="V75" s="420">
        <v>1</v>
      </c>
      <c r="W75" s="420" t="s">
        <v>141</v>
      </c>
      <c r="X75" s="420">
        <v>700</v>
      </c>
      <c r="Y75" s="420" t="s">
        <v>203</v>
      </c>
      <c r="Z75" s="383"/>
      <c r="AA75" s="386">
        <f t="shared" si="1"/>
        <v>17.3</v>
      </c>
    </row>
    <row r="76" spans="1:27" ht="15">
      <c r="A76" s="420">
        <v>79</v>
      </c>
      <c r="B76" s="420" t="s">
        <v>133</v>
      </c>
      <c r="C76" s="420">
        <v>21603</v>
      </c>
      <c r="D76" s="420" t="s">
        <v>195</v>
      </c>
      <c r="E76" s="420" t="s">
        <v>196</v>
      </c>
      <c r="F76" s="420" t="s">
        <v>197</v>
      </c>
      <c r="G76" s="420" t="s">
        <v>137</v>
      </c>
      <c r="H76" s="420">
        <v>61039000</v>
      </c>
      <c r="I76" s="420">
        <v>217</v>
      </c>
      <c r="J76" s="420" t="s">
        <v>138</v>
      </c>
      <c r="K76" s="420">
        <v>74</v>
      </c>
      <c r="L76" s="420">
        <v>37</v>
      </c>
      <c r="M76" s="420">
        <v>89</v>
      </c>
      <c r="N76" s="420" t="s">
        <v>146</v>
      </c>
      <c r="O76" s="420">
        <v>204539000</v>
      </c>
      <c r="P76" s="421">
        <v>42515</v>
      </c>
      <c r="Q76" s="420">
        <v>3.8999999999999998E-3</v>
      </c>
      <c r="R76" s="421">
        <v>42880</v>
      </c>
      <c r="S76" s="420">
        <v>250000</v>
      </c>
      <c r="T76" s="420">
        <v>2</v>
      </c>
      <c r="U76" s="420" t="s">
        <v>140</v>
      </c>
      <c r="V76" s="420">
        <v>1</v>
      </c>
      <c r="W76" s="420" t="s">
        <v>141</v>
      </c>
      <c r="X76" s="420">
        <v>1</v>
      </c>
      <c r="Y76" s="420" t="s">
        <v>164</v>
      </c>
      <c r="Z76" s="383"/>
      <c r="AA76" s="386">
        <f t="shared" si="1"/>
        <v>9.75</v>
      </c>
    </row>
    <row r="77" spans="1:27" ht="15">
      <c r="A77" s="420">
        <v>182</v>
      </c>
      <c r="B77" s="420" t="s">
        <v>133</v>
      </c>
      <c r="C77" s="420">
        <v>32300</v>
      </c>
      <c r="D77" s="420" t="s">
        <v>181</v>
      </c>
      <c r="E77" s="420" t="s">
        <v>182</v>
      </c>
      <c r="F77" s="420" t="s">
        <v>183</v>
      </c>
      <c r="G77" s="420" t="s">
        <v>137</v>
      </c>
      <c r="H77" s="420">
        <v>62864000</v>
      </c>
      <c r="I77" s="420">
        <v>208</v>
      </c>
      <c r="J77" s="420" t="s">
        <v>138</v>
      </c>
      <c r="K77" s="420">
        <v>107</v>
      </c>
      <c r="L77" s="420">
        <v>54</v>
      </c>
      <c r="M77" s="420">
        <v>33</v>
      </c>
      <c r="N77" s="420" t="s">
        <v>184</v>
      </c>
      <c r="O77" s="420">
        <v>978475000</v>
      </c>
      <c r="P77" s="421">
        <v>42515</v>
      </c>
      <c r="Q77" s="420">
        <v>3.8999999999999998E-3</v>
      </c>
      <c r="R77" s="421">
        <v>42880</v>
      </c>
      <c r="S77" s="420">
        <v>300000</v>
      </c>
      <c r="T77" s="420">
        <v>2</v>
      </c>
      <c r="U77" s="420" t="s">
        <v>140</v>
      </c>
      <c r="V77" s="420">
        <v>1</v>
      </c>
      <c r="W77" s="420" t="s">
        <v>141</v>
      </c>
      <c r="X77" s="420">
        <v>1</v>
      </c>
      <c r="Y77" s="420" t="s">
        <v>164</v>
      </c>
      <c r="Z77" s="383"/>
      <c r="AA77" s="386">
        <f t="shared" si="1"/>
        <v>11.7</v>
      </c>
    </row>
    <row r="78" spans="1:27" ht="15">
      <c r="A78" s="420">
        <v>388</v>
      </c>
      <c r="B78" s="420" t="s">
        <v>133</v>
      </c>
      <c r="C78" s="420">
        <v>7054</v>
      </c>
      <c r="D78" s="420" t="s">
        <v>134</v>
      </c>
      <c r="E78" s="420" t="s">
        <v>135</v>
      </c>
      <c r="F78" s="420" t="s">
        <v>136</v>
      </c>
      <c r="G78" s="420" t="s">
        <v>137</v>
      </c>
      <c r="H78" s="420">
        <v>62016000</v>
      </c>
      <c r="I78" s="420">
        <v>203</v>
      </c>
      <c r="J78" s="420" t="s">
        <v>138</v>
      </c>
      <c r="K78" s="420">
        <v>97</v>
      </c>
      <c r="L78" s="420">
        <v>49</v>
      </c>
      <c r="M78" s="420">
        <v>31</v>
      </c>
      <c r="N78" s="420" t="s">
        <v>139</v>
      </c>
      <c r="O78" s="420">
        <v>1214837000</v>
      </c>
      <c r="P78" s="421">
        <v>42523</v>
      </c>
      <c r="Q78" s="420">
        <v>4.1000000000000003E-3</v>
      </c>
      <c r="R78" s="421">
        <v>42888</v>
      </c>
      <c r="S78" s="420">
        <v>465000</v>
      </c>
      <c r="T78" s="420">
        <v>2</v>
      </c>
      <c r="U78" s="420" t="s">
        <v>140</v>
      </c>
      <c r="V78" s="420">
        <v>1</v>
      </c>
      <c r="W78" s="420" t="s">
        <v>141</v>
      </c>
      <c r="X78" s="420">
        <v>1</v>
      </c>
      <c r="Y78" s="420" t="s">
        <v>164</v>
      </c>
      <c r="Z78" s="383"/>
      <c r="AA78" s="386">
        <f t="shared" si="1"/>
        <v>19.065000000000001</v>
      </c>
    </row>
    <row r="79" spans="1:27" ht="15">
      <c r="A79" s="420">
        <v>389</v>
      </c>
      <c r="B79" s="420" t="s">
        <v>133</v>
      </c>
      <c r="C79" s="420">
        <v>7054</v>
      </c>
      <c r="D79" s="420" t="s">
        <v>134</v>
      </c>
      <c r="E79" s="420" t="s">
        <v>135</v>
      </c>
      <c r="F79" s="420" t="s">
        <v>136</v>
      </c>
      <c r="G79" s="420" t="s">
        <v>137</v>
      </c>
      <c r="H79" s="420">
        <v>62016000</v>
      </c>
      <c r="I79" s="420">
        <v>203</v>
      </c>
      <c r="J79" s="420" t="s">
        <v>138</v>
      </c>
      <c r="K79" s="420">
        <v>97</v>
      </c>
      <c r="L79" s="420">
        <v>49</v>
      </c>
      <c r="M79" s="420">
        <v>31</v>
      </c>
      <c r="N79" s="420" t="s">
        <v>139</v>
      </c>
      <c r="O79" s="420">
        <v>1214837000</v>
      </c>
      <c r="P79" s="421">
        <v>42524</v>
      </c>
      <c r="Q79" s="420">
        <v>4.1000000000000003E-3</v>
      </c>
      <c r="R79" s="421">
        <v>42888</v>
      </c>
      <c r="S79" s="420">
        <v>1945000</v>
      </c>
      <c r="T79" s="420">
        <v>2</v>
      </c>
      <c r="U79" s="420" t="s">
        <v>140</v>
      </c>
      <c r="V79" s="420">
        <v>1</v>
      </c>
      <c r="W79" s="420" t="s">
        <v>141</v>
      </c>
      <c r="X79" s="420">
        <v>1</v>
      </c>
      <c r="Y79" s="420" t="s">
        <v>164</v>
      </c>
      <c r="Z79" s="383"/>
      <c r="AA79" s="386">
        <f t="shared" si="1"/>
        <v>79.745000000000005</v>
      </c>
    </row>
    <row r="80" spans="1:27" ht="15">
      <c r="A80" s="420">
        <v>390</v>
      </c>
      <c r="B80" s="420" t="s">
        <v>133</v>
      </c>
      <c r="C80" s="420">
        <v>7054</v>
      </c>
      <c r="D80" s="420" t="s">
        <v>134</v>
      </c>
      <c r="E80" s="420" t="s">
        <v>135</v>
      </c>
      <c r="F80" s="420" t="s">
        <v>136</v>
      </c>
      <c r="G80" s="420" t="s">
        <v>137</v>
      </c>
      <c r="H80" s="420">
        <v>62016000</v>
      </c>
      <c r="I80" s="420">
        <v>203</v>
      </c>
      <c r="J80" s="420" t="s">
        <v>138</v>
      </c>
      <c r="K80" s="420">
        <v>97</v>
      </c>
      <c r="L80" s="420">
        <v>49</v>
      </c>
      <c r="M80" s="420">
        <v>31</v>
      </c>
      <c r="N80" s="420" t="s">
        <v>139</v>
      </c>
      <c r="O80" s="420">
        <v>1214837000</v>
      </c>
      <c r="P80" s="421">
        <v>42530</v>
      </c>
      <c r="Q80" s="420">
        <v>4.1000000000000003E-3</v>
      </c>
      <c r="R80" s="421">
        <v>42895</v>
      </c>
      <c r="S80" s="420">
        <v>200000</v>
      </c>
      <c r="T80" s="420">
        <v>2</v>
      </c>
      <c r="U80" s="420" t="s">
        <v>140</v>
      </c>
      <c r="V80" s="420">
        <v>1</v>
      </c>
      <c r="W80" s="420" t="s">
        <v>141</v>
      </c>
      <c r="X80" s="420">
        <v>1</v>
      </c>
      <c r="Y80" s="420" t="s">
        <v>164</v>
      </c>
      <c r="Z80" s="383"/>
      <c r="AA80" s="386">
        <f t="shared" si="1"/>
        <v>8.1999999999999993</v>
      </c>
    </row>
    <row r="81" spans="1:27" ht="15">
      <c r="A81" s="420">
        <v>40</v>
      </c>
      <c r="B81" s="420" t="s">
        <v>133</v>
      </c>
      <c r="C81" s="420">
        <v>38106</v>
      </c>
      <c r="D81" s="420" t="s">
        <v>191</v>
      </c>
      <c r="E81" s="420" t="s">
        <v>192</v>
      </c>
      <c r="F81" s="420" t="s">
        <v>193</v>
      </c>
      <c r="G81" s="420" t="s">
        <v>137</v>
      </c>
      <c r="H81" s="420">
        <v>62271000</v>
      </c>
      <c r="I81" s="420">
        <v>195</v>
      </c>
      <c r="J81" s="420" t="s">
        <v>138</v>
      </c>
      <c r="K81" s="420">
        <v>116</v>
      </c>
      <c r="L81" s="420">
        <v>58</v>
      </c>
      <c r="M81" s="420">
        <v>95</v>
      </c>
      <c r="N81" s="420" t="s">
        <v>194</v>
      </c>
      <c r="O81" s="420">
        <v>57826000</v>
      </c>
      <c r="P81" s="421">
        <v>42531</v>
      </c>
      <c r="Q81" s="420">
        <v>4.1000000000000003E-3</v>
      </c>
      <c r="R81" s="421">
        <v>42895</v>
      </c>
      <c r="S81" s="420">
        <v>150000</v>
      </c>
      <c r="T81" s="420">
        <v>2</v>
      </c>
      <c r="U81" s="420" t="s">
        <v>140</v>
      </c>
      <c r="V81" s="420">
        <v>1</v>
      </c>
      <c r="W81" s="420" t="s">
        <v>141</v>
      </c>
      <c r="X81" s="420">
        <v>1</v>
      </c>
      <c r="Y81" s="420" t="s">
        <v>164</v>
      </c>
      <c r="Z81" s="383"/>
      <c r="AA81" s="386">
        <f t="shared" si="1"/>
        <v>6.15</v>
      </c>
    </row>
    <row r="82" spans="1:27" ht="15">
      <c r="A82" s="420">
        <v>391</v>
      </c>
      <c r="B82" s="420" t="s">
        <v>133</v>
      </c>
      <c r="C82" s="420">
        <v>7054</v>
      </c>
      <c r="D82" s="420" t="s">
        <v>134</v>
      </c>
      <c r="E82" s="420" t="s">
        <v>135</v>
      </c>
      <c r="F82" s="420" t="s">
        <v>136</v>
      </c>
      <c r="G82" s="420" t="s">
        <v>137</v>
      </c>
      <c r="H82" s="420">
        <v>62016000</v>
      </c>
      <c r="I82" s="420">
        <v>203</v>
      </c>
      <c r="J82" s="420" t="s">
        <v>138</v>
      </c>
      <c r="K82" s="420">
        <v>97</v>
      </c>
      <c r="L82" s="420">
        <v>49</v>
      </c>
      <c r="M82" s="420">
        <v>31</v>
      </c>
      <c r="N82" s="420" t="s">
        <v>139</v>
      </c>
      <c r="O82" s="420">
        <v>1214837000</v>
      </c>
      <c r="P82" s="421">
        <v>42531</v>
      </c>
      <c r="Q82" s="420">
        <v>4.1000000000000003E-3</v>
      </c>
      <c r="R82" s="421">
        <v>42895</v>
      </c>
      <c r="S82" s="420">
        <v>640000</v>
      </c>
      <c r="T82" s="420">
        <v>2</v>
      </c>
      <c r="U82" s="420" t="s">
        <v>140</v>
      </c>
      <c r="V82" s="420">
        <v>1</v>
      </c>
      <c r="W82" s="420" t="s">
        <v>141</v>
      </c>
      <c r="X82" s="420">
        <v>1</v>
      </c>
      <c r="Y82" s="420" t="s">
        <v>164</v>
      </c>
      <c r="Z82" s="383"/>
      <c r="AA82" s="386">
        <f t="shared" si="1"/>
        <v>26.240000000000002</v>
      </c>
    </row>
    <row r="83" spans="1:27" ht="15">
      <c r="A83" s="420">
        <v>392</v>
      </c>
      <c r="B83" s="420" t="s">
        <v>133</v>
      </c>
      <c r="C83" s="420">
        <v>7054</v>
      </c>
      <c r="D83" s="420" t="s">
        <v>134</v>
      </c>
      <c r="E83" s="420" t="s">
        <v>135</v>
      </c>
      <c r="F83" s="420" t="s">
        <v>136</v>
      </c>
      <c r="G83" s="420" t="s">
        <v>137</v>
      </c>
      <c r="H83" s="420">
        <v>62016000</v>
      </c>
      <c r="I83" s="420">
        <v>203</v>
      </c>
      <c r="J83" s="420" t="s">
        <v>138</v>
      </c>
      <c r="K83" s="420">
        <v>97</v>
      </c>
      <c r="L83" s="420">
        <v>49</v>
      </c>
      <c r="M83" s="420">
        <v>31</v>
      </c>
      <c r="N83" s="420" t="s">
        <v>139</v>
      </c>
      <c r="O83" s="420">
        <v>1214837000</v>
      </c>
      <c r="P83" s="421">
        <v>42536</v>
      </c>
      <c r="Q83" s="420">
        <v>4.1000000000000003E-3</v>
      </c>
      <c r="R83" s="421">
        <v>42901</v>
      </c>
      <c r="S83" s="420">
        <v>75000</v>
      </c>
      <c r="T83" s="420">
        <v>2</v>
      </c>
      <c r="U83" s="420" t="s">
        <v>140</v>
      </c>
      <c r="V83" s="420">
        <v>1</v>
      </c>
      <c r="W83" s="420" t="s">
        <v>141</v>
      </c>
      <c r="X83" s="420">
        <v>1</v>
      </c>
      <c r="Y83" s="420" t="s">
        <v>164</v>
      </c>
      <c r="Z83" s="383"/>
      <c r="AA83" s="386">
        <f t="shared" si="1"/>
        <v>3.0750000000000002</v>
      </c>
    </row>
    <row r="84" spans="1:27" ht="15">
      <c r="A84" s="420">
        <v>616</v>
      </c>
      <c r="B84" s="420" t="s">
        <v>133</v>
      </c>
      <c r="C84" s="420">
        <v>15200</v>
      </c>
      <c r="D84" s="420" t="s">
        <v>173</v>
      </c>
      <c r="E84" s="420" t="s">
        <v>174</v>
      </c>
      <c r="F84" s="420" t="s">
        <v>175</v>
      </c>
      <c r="G84" s="420" t="s">
        <v>137</v>
      </c>
      <c r="H84" s="420">
        <v>61019000</v>
      </c>
      <c r="I84" s="420">
        <v>220</v>
      </c>
      <c r="J84" s="420" t="s">
        <v>138</v>
      </c>
      <c r="K84" s="420">
        <v>74</v>
      </c>
      <c r="L84" s="420">
        <v>37</v>
      </c>
      <c r="M84" s="420">
        <v>89</v>
      </c>
      <c r="N84" s="420" t="s">
        <v>146</v>
      </c>
      <c r="O84" s="420">
        <v>130288000</v>
      </c>
      <c r="P84" s="421">
        <v>42537</v>
      </c>
      <c r="Q84" s="420">
        <v>4.1000000000000003E-3</v>
      </c>
      <c r="R84" s="421">
        <v>42902</v>
      </c>
      <c r="S84" s="420">
        <v>200000</v>
      </c>
      <c r="T84" s="420">
        <v>2</v>
      </c>
      <c r="U84" s="420" t="s">
        <v>140</v>
      </c>
      <c r="V84" s="420">
        <v>1</v>
      </c>
      <c r="W84" s="420" t="s">
        <v>141</v>
      </c>
      <c r="X84" s="420">
        <v>1</v>
      </c>
      <c r="Y84" s="420" t="s">
        <v>164</v>
      </c>
      <c r="Z84" s="383"/>
      <c r="AA84" s="386">
        <f t="shared" si="1"/>
        <v>8.1999999999999993</v>
      </c>
    </row>
    <row r="85" spans="1:27" ht="15">
      <c r="A85" s="420">
        <v>183</v>
      </c>
      <c r="B85" s="420" t="s">
        <v>133</v>
      </c>
      <c r="C85" s="420">
        <v>32300</v>
      </c>
      <c r="D85" s="420" t="s">
        <v>181</v>
      </c>
      <c r="E85" s="420" t="s">
        <v>182</v>
      </c>
      <c r="F85" s="420" t="s">
        <v>183</v>
      </c>
      <c r="G85" s="420" t="s">
        <v>137</v>
      </c>
      <c r="H85" s="420">
        <v>62864000</v>
      </c>
      <c r="I85" s="420">
        <v>208</v>
      </c>
      <c r="J85" s="420" t="s">
        <v>138</v>
      </c>
      <c r="K85" s="420">
        <v>107</v>
      </c>
      <c r="L85" s="420">
        <v>54</v>
      </c>
      <c r="M85" s="420">
        <v>33</v>
      </c>
      <c r="N85" s="420" t="s">
        <v>184</v>
      </c>
      <c r="O85" s="420">
        <v>978475000</v>
      </c>
      <c r="P85" s="421">
        <v>42538</v>
      </c>
      <c r="Q85" s="420">
        <v>4.1000000000000003E-3</v>
      </c>
      <c r="R85" s="421">
        <v>42902</v>
      </c>
      <c r="S85" s="420">
        <v>40000</v>
      </c>
      <c r="T85" s="420">
        <v>2</v>
      </c>
      <c r="U85" s="420" t="s">
        <v>140</v>
      </c>
      <c r="V85" s="420">
        <v>1</v>
      </c>
      <c r="W85" s="420" t="s">
        <v>141</v>
      </c>
      <c r="X85" s="420">
        <v>1</v>
      </c>
      <c r="Y85" s="420" t="s">
        <v>164</v>
      </c>
      <c r="Z85" s="383"/>
      <c r="AA85" s="386">
        <f t="shared" si="1"/>
        <v>1.6400000000000001</v>
      </c>
    </row>
    <row r="86" spans="1:27" ht="15">
      <c r="A86" s="420">
        <v>80</v>
      </c>
      <c r="B86" s="420" t="s">
        <v>133</v>
      </c>
      <c r="C86" s="420">
        <v>21603</v>
      </c>
      <c r="D86" s="420" t="s">
        <v>195</v>
      </c>
      <c r="E86" s="420" t="s">
        <v>196</v>
      </c>
      <c r="F86" s="420" t="s">
        <v>197</v>
      </c>
      <c r="G86" s="420" t="s">
        <v>137</v>
      </c>
      <c r="H86" s="420">
        <v>61039000</v>
      </c>
      <c r="I86" s="420">
        <v>217</v>
      </c>
      <c r="J86" s="420" t="s">
        <v>138</v>
      </c>
      <c r="K86" s="420">
        <v>74</v>
      </c>
      <c r="L86" s="420">
        <v>37</v>
      </c>
      <c r="M86" s="420">
        <v>89</v>
      </c>
      <c r="N86" s="420" t="s">
        <v>146</v>
      </c>
      <c r="O86" s="420">
        <v>204539000</v>
      </c>
      <c r="P86" s="421">
        <v>42557</v>
      </c>
      <c r="Q86" s="420">
        <v>4.3E-3</v>
      </c>
      <c r="R86" s="421">
        <v>42922</v>
      </c>
      <c r="S86" s="420">
        <v>250000</v>
      </c>
      <c r="T86" s="420">
        <v>2</v>
      </c>
      <c r="U86" s="420" t="s">
        <v>140</v>
      </c>
      <c r="V86" s="420">
        <v>1</v>
      </c>
      <c r="W86" s="420" t="s">
        <v>141</v>
      </c>
      <c r="X86" s="420">
        <v>1</v>
      </c>
      <c r="Y86" s="420" t="s">
        <v>164</v>
      </c>
      <c r="Z86" s="383"/>
      <c r="AA86" s="386">
        <f t="shared" si="1"/>
        <v>10.75</v>
      </c>
    </row>
    <row r="87" spans="1:27" ht="15">
      <c r="A87" s="420">
        <v>563</v>
      </c>
      <c r="B87" s="420" t="s">
        <v>133</v>
      </c>
      <c r="C87" s="420">
        <v>36401</v>
      </c>
      <c r="D87" s="420" t="s">
        <v>204</v>
      </c>
      <c r="E87" s="420" t="s">
        <v>205</v>
      </c>
      <c r="F87" s="420" t="s">
        <v>206</v>
      </c>
      <c r="G87" s="420" t="s">
        <v>137</v>
      </c>
      <c r="H87" s="420">
        <v>62670000</v>
      </c>
      <c r="I87" s="420">
        <v>274</v>
      </c>
      <c r="J87" s="420" t="s">
        <v>138</v>
      </c>
      <c r="K87" s="420">
        <v>100</v>
      </c>
      <c r="L87" s="420">
        <v>50</v>
      </c>
      <c r="M87" s="420">
        <v>83</v>
      </c>
      <c r="N87" s="420" t="s">
        <v>207</v>
      </c>
      <c r="O87" s="420">
        <v>98782000</v>
      </c>
      <c r="P87" s="421">
        <v>42566</v>
      </c>
      <c r="Q87" s="420">
        <v>4.3E-3</v>
      </c>
      <c r="R87" s="421">
        <v>42930</v>
      </c>
      <c r="S87" s="420">
        <v>4560000</v>
      </c>
      <c r="T87" s="420">
        <v>2</v>
      </c>
      <c r="U87" s="420" t="s">
        <v>140</v>
      </c>
      <c r="V87" s="420">
        <v>1</v>
      </c>
      <c r="W87" s="420" t="s">
        <v>141</v>
      </c>
      <c r="X87" s="420">
        <v>1</v>
      </c>
      <c r="Y87" s="420" t="s">
        <v>164</v>
      </c>
      <c r="Z87" s="383"/>
      <c r="AA87" s="386">
        <f t="shared" si="1"/>
        <v>196.08</v>
      </c>
    </row>
    <row r="88" spans="1:27" ht="15">
      <c r="A88" s="420">
        <v>81</v>
      </c>
      <c r="B88" s="420" t="s">
        <v>133</v>
      </c>
      <c r="C88" s="420">
        <v>21603</v>
      </c>
      <c r="D88" s="420" t="s">
        <v>195</v>
      </c>
      <c r="E88" s="420" t="s">
        <v>196</v>
      </c>
      <c r="F88" s="420" t="s">
        <v>197</v>
      </c>
      <c r="G88" s="420" t="s">
        <v>137</v>
      </c>
      <c r="H88" s="420">
        <v>61039000</v>
      </c>
      <c r="I88" s="420">
        <v>217</v>
      </c>
      <c r="J88" s="420" t="s">
        <v>138</v>
      </c>
      <c r="K88" s="420">
        <v>74</v>
      </c>
      <c r="L88" s="420">
        <v>37</v>
      </c>
      <c r="M88" s="420">
        <v>89</v>
      </c>
      <c r="N88" s="420" t="s">
        <v>146</v>
      </c>
      <c r="O88" s="420">
        <v>204539000</v>
      </c>
      <c r="P88" s="421">
        <v>42570</v>
      </c>
      <c r="Q88" s="420">
        <v>4.3E-3</v>
      </c>
      <c r="R88" s="421">
        <v>42935</v>
      </c>
      <c r="S88" s="420">
        <v>600000</v>
      </c>
      <c r="T88" s="420">
        <v>2</v>
      </c>
      <c r="U88" s="420" t="s">
        <v>140</v>
      </c>
      <c r="V88" s="420">
        <v>1</v>
      </c>
      <c r="W88" s="420" t="s">
        <v>141</v>
      </c>
      <c r="X88" s="420">
        <v>1</v>
      </c>
      <c r="Y88" s="420" t="s">
        <v>164</v>
      </c>
      <c r="Z88" s="383"/>
      <c r="AA88" s="386">
        <f t="shared" si="1"/>
        <v>25.8</v>
      </c>
    </row>
    <row r="89" spans="1:27" ht="15">
      <c r="A89" s="420">
        <v>393</v>
      </c>
      <c r="B89" s="420" t="s">
        <v>133</v>
      </c>
      <c r="C89" s="420">
        <v>7054</v>
      </c>
      <c r="D89" s="420" t="s">
        <v>134</v>
      </c>
      <c r="E89" s="420" t="s">
        <v>135</v>
      </c>
      <c r="F89" s="420" t="s">
        <v>136</v>
      </c>
      <c r="G89" s="420" t="s">
        <v>137</v>
      </c>
      <c r="H89" s="420">
        <v>62016000</v>
      </c>
      <c r="I89" s="420">
        <v>203</v>
      </c>
      <c r="J89" s="420" t="s">
        <v>138</v>
      </c>
      <c r="K89" s="420">
        <v>97</v>
      </c>
      <c r="L89" s="420">
        <v>49</v>
      </c>
      <c r="M89" s="420">
        <v>31</v>
      </c>
      <c r="N89" s="420" t="s">
        <v>139</v>
      </c>
      <c r="O89" s="420">
        <v>1214837000</v>
      </c>
      <c r="P89" s="421">
        <v>42576</v>
      </c>
      <c r="Q89" s="420">
        <v>4.3E-3</v>
      </c>
      <c r="R89" s="421">
        <v>42941</v>
      </c>
      <c r="S89" s="420">
        <v>450000</v>
      </c>
      <c r="T89" s="420">
        <v>2</v>
      </c>
      <c r="U89" s="420" t="s">
        <v>140</v>
      </c>
      <c r="V89" s="420">
        <v>1</v>
      </c>
      <c r="W89" s="420" t="s">
        <v>141</v>
      </c>
      <c r="X89" s="420">
        <v>1</v>
      </c>
      <c r="Y89" s="420" t="s">
        <v>164</v>
      </c>
      <c r="Z89" s="383"/>
      <c r="AA89" s="386">
        <f t="shared" si="1"/>
        <v>19.350000000000001</v>
      </c>
    </row>
    <row r="90" spans="1:27" ht="15">
      <c r="A90" s="420">
        <v>239</v>
      </c>
      <c r="B90" s="420" t="s">
        <v>198</v>
      </c>
      <c r="C90" s="420">
        <v>34733</v>
      </c>
      <c r="D90" s="420" t="s">
        <v>208</v>
      </c>
      <c r="E90" s="420" t="s">
        <v>209</v>
      </c>
      <c r="F90" s="420" t="s">
        <v>210</v>
      </c>
      <c r="G90" s="420" t="s">
        <v>137</v>
      </c>
      <c r="H90" s="420">
        <v>62863000</v>
      </c>
      <c r="I90" s="420">
        <v>136</v>
      </c>
      <c r="J90" s="420" t="s">
        <v>138</v>
      </c>
      <c r="K90" s="420">
        <v>107</v>
      </c>
      <c r="L90" s="420">
        <v>54</v>
      </c>
      <c r="M90" s="420">
        <v>93</v>
      </c>
      <c r="N90" s="420" t="s">
        <v>211</v>
      </c>
      <c r="O90" s="420">
        <v>8476000</v>
      </c>
      <c r="P90" s="421">
        <v>42584</v>
      </c>
      <c r="Q90" s="420">
        <v>1.34E-2</v>
      </c>
      <c r="R90" s="421">
        <v>42919</v>
      </c>
      <c r="S90" s="420">
        <v>95000</v>
      </c>
      <c r="T90" s="420">
        <v>4</v>
      </c>
      <c r="U90" s="420" t="s">
        <v>202</v>
      </c>
      <c r="V90" s="420">
        <v>3</v>
      </c>
      <c r="W90" s="420" t="s">
        <v>212</v>
      </c>
      <c r="X90" s="420">
        <v>612</v>
      </c>
      <c r="Y90" s="420" t="s">
        <v>213</v>
      </c>
      <c r="Z90" s="383"/>
      <c r="AA90" s="386">
        <f t="shared" si="1"/>
        <v>12.73</v>
      </c>
    </row>
    <row r="91" spans="1:27" ht="15">
      <c r="A91" s="420">
        <v>184</v>
      </c>
      <c r="B91" s="420" t="s">
        <v>133</v>
      </c>
      <c r="C91" s="420">
        <v>32300</v>
      </c>
      <c r="D91" s="420" t="s">
        <v>181</v>
      </c>
      <c r="E91" s="420" t="s">
        <v>182</v>
      </c>
      <c r="F91" s="420" t="s">
        <v>183</v>
      </c>
      <c r="G91" s="420" t="s">
        <v>137</v>
      </c>
      <c r="H91" s="420">
        <v>62864000</v>
      </c>
      <c r="I91" s="420">
        <v>208</v>
      </c>
      <c r="J91" s="420" t="s">
        <v>138</v>
      </c>
      <c r="K91" s="420">
        <v>107</v>
      </c>
      <c r="L91" s="420">
        <v>54</v>
      </c>
      <c r="M91" s="420">
        <v>33</v>
      </c>
      <c r="N91" s="420" t="s">
        <v>184</v>
      </c>
      <c r="O91" s="420">
        <v>978475000</v>
      </c>
      <c r="P91" s="421">
        <v>42591</v>
      </c>
      <c r="Q91" s="420">
        <v>4.4000000000000003E-3</v>
      </c>
      <c r="R91" s="421">
        <v>42956</v>
      </c>
      <c r="S91" s="420">
        <v>150000</v>
      </c>
      <c r="T91" s="420">
        <v>2</v>
      </c>
      <c r="U91" s="420" t="s">
        <v>140</v>
      </c>
      <c r="V91" s="420">
        <v>1</v>
      </c>
      <c r="W91" s="420" t="s">
        <v>141</v>
      </c>
      <c r="X91" s="420">
        <v>1</v>
      </c>
      <c r="Y91" s="420" t="s">
        <v>164</v>
      </c>
      <c r="Z91" s="383"/>
      <c r="AA91" s="386">
        <f t="shared" si="1"/>
        <v>6.6000000000000005</v>
      </c>
    </row>
    <row r="92" spans="1:27" ht="15">
      <c r="A92" s="420">
        <v>394</v>
      </c>
      <c r="B92" s="420" t="s">
        <v>133</v>
      </c>
      <c r="C92" s="420">
        <v>7054</v>
      </c>
      <c r="D92" s="420" t="s">
        <v>134</v>
      </c>
      <c r="E92" s="420" t="s">
        <v>135</v>
      </c>
      <c r="F92" s="420" t="s">
        <v>136</v>
      </c>
      <c r="G92" s="420" t="s">
        <v>137</v>
      </c>
      <c r="H92" s="420">
        <v>62016000</v>
      </c>
      <c r="I92" s="420">
        <v>203</v>
      </c>
      <c r="J92" s="420" t="s">
        <v>138</v>
      </c>
      <c r="K92" s="420">
        <v>97</v>
      </c>
      <c r="L92" s="420">
        <v>49</v>
      </c>
      <c r="M92" s="420">
        <v>31</v>
      </c>
      <c r="N92" s="420" t="s">
        <v>139</v>
      </c>
      <c r="O92" s="420">
        <v>1214837000</v>
      </c>
      <c r="P92" s="421">
        <v>42594</v>
      </c>
      <c r="Q92" s="420">
        <v>7.6E-3</v>
      </c>
      <c r="R92" s="421">
        <v>43689</v>
      </c>
      <c r="S92" s="420">
        <v>60000</v>
      </c>
      <c r="T92" s="420">
        <v>2</v>
      </c>
      <c r="U92" s="420" t="s">
        <v>140</v>
      </c>
      <c r="V92" s="420">
        <v>1</v>
      </c>
      <c r="W92" s="420" t="s">
        <v>141</v>
      </c>
      <c r="X92" s="420">
        <v>430</v>
      </c>
      <c r="Y92" s="420" t="s">
        <v>142</v>
      </c>
      <c r="Z92" s="383"/>
      <c r="AA92" s="386">
        <f t="shared" si="1"/>
        <v>4.5600000000000005</v>
      </c>
    </row>
    <row r="93" spans="1:27" ht="15">
      <c r="A93" s="420">
        <v>395</v>
      </c>
      <c r="B93" s="420" t="s">
        <v>133</v>
      </c>
      <c r="C93" s="420">
        <v>7054</v>
      </c>
      <c r="D93" s="420" t="s">
        <v>134</v>
      </c>
      <c r="E93" s="420" t="s">
        <v>135</v>
      </c>
      <c r="F93" s="420" t="s">
        <v>136</v>
      </c>
      <c r="G93" s="420" t="s">
        <v>137</v>
      </c>
      <c r="H93" s="420">
        <v>62016000</v>
      </c>
      <c r="I93" s="420">
        <v>203</v>
      </c>
      <c r="J93" s="420" t="s">
        <v>138</v>
      </c>
      <c r="K93" s="420">
        <v>97</v>
      </c>
      <c r="L93" s="420">
        <v>49</v>
      </c>
      <c r="M93" s="420">
        <v>31</v>
      </c>
      <c r="N93" s="420" t="s">
        <v>139</v>
      </c>
      <c r="O93" s="420">
        <v>1214837000</v>
      </c>
      <c r="P93" s="421">
        <v>42606</v>
      </c>
      <c r="Q93" s="420">
        <v>4.4000000000000003E-3</v>
      </c>
      <c r="R93" s="421">
        <v>42971</v>
      </c>
      <c r="S93" s="420">
        <v>20000</v>
      </c>
      <c r="T93" s="420">
        <v>2</v>
      </c>
      <c r="U93" s="420" t="s">
        <v>140</v>
      </c>
      <c r="V93" s="420">
        <v>1</v>
      </c>
      <c r="W93" s="420" t="s">
        <v>141</v>
      </c>
      <c r="X93" s="420">
        <v>1</v>
      </c>
      <c r="Y93" s="420" t="s">
        <v>164</v>
      </c>
      <c r="Z93" s="383"/>
      <c r="AA93" s="386">
        <f t="shared" si="1"/>
        <v>0.88000000000000012</v>
      </c>
    </row>
    <row r="94" spans="1:27" ht="15">
      <c r="A94" s="420">
        <v>396</v>
      </c>
      <c r="B94" s="420" t="s">
        <v>133</v>
      </c>
      <c r="C94" s="420">
        <v>7054</v>
      </c>
      <c r="D94" s="420" t="s">
        <v>134</v>
      </c>
      <c r="E94" s="420" t="s">
        <v>135</v>
      </c>
      <c r="F94" s="420" t="s">
        <v>136</v>
      </c>
      <c r="G94" s="420" t="s">
        <v>137</v>
      </c>
      <c r="H94" s="420">
        <v>62016000</v>
      </c>
      <c r="I94" s="420">
        <v>203</v>
      </c>
      <c r="J94" s="420" t="s">
        <v>138</v>
      </c>
      <c r="K94" s="420">
        <v>97</v>
      </c>
      <c r="L94" s="420">
        <v>49</v>
      </c>
      <c r="M94" s="420">
        <v>31</v>
      </c>
      <c r="N94" s="420" t="s">
        <v>139</v>
      </c>
      <c r="O94" s="420">
        <v>1214837000</v>
      </c>
      <c r="P94" s="421">
        <v>42615</v>
      </c>
      <c r="Q94" s="420">
        <v>7.6E-3</v>
      </c>
      <c r="R94" s="421">
        <v>43711</v>
      </c>
      <c r="S94" s="420">
        <v>453122</v>
      </c>
      <c r="T94" s="420">
        <v>2</v>
      </c>
      <c r="U94" s="420" t="s">
        <v>140</v>
      </c>
      <c r="V94" s="420">
        <v>1</v>
      </c>
      <c r="W94" s="420" t="s">
        <v>141</v>
      </c>
      <c r="X94" s="420">
        <v>730</v>
      </c>
      <c r="Y94" s="420" t="s">
        <v>214</v>
      </c>
      <c r="Z94" s="383"/>
      <c r="AA94" s="386">
        <f t="shared" si="1"/>
        <v>34.437272</v>
      </c>
    </row>
    <row r="95" spans="1:27" ht="15">
      <c r="A95" s="420">
        <v>31</v>
      </c>
      <c r="B95" s="420" t="s">
        <v>133</v>
      </c>
      <c r="C95" s="420">
        <v>40408</v>
      </c>
      <c r="D95" s="420" t="s">
        <v>215</v>
      </c>
      <c r="E95" s="420" t="s">
        <v>216</v>
      </c>
      <c r="F95" s="420" t="s">
        <v>217</v>
      </c>
      <c r="G95" s="420" t="s">
        <v>137</v>
      </c>
      <c r="H95" s="420">
        <v>61602000</v>
      </c>
      <c r="I95" s="420">
        <v>221</v>
      </c>
      <c r="J95" s="420" t="s">
        <v>138</v>
      </c>
      <c r="K95" s="420">
        <v>92</v>
      </c>
      <c r="L95" s="420">
        <v>46</v>
      </c>
      <c r="M95" s="420">
        <v>72</v>
      </c>
      <c r="N95" s="420" t="s">
        <v>218</v>
      </c>
      <c r="O95" s="420">
        <v>521633000</v>
      </c>
      <c r="P95" s="421">
        <v>42621</v>
      </c>
      <c r="Q95" s="420">
        <v>1.4999999999999999E-2</v>
      </c>
      <c r="R95" s="421">
        <v>42951</v>
      </c>
      <c r="S95" s="420">
        <v>2000000</v>
      </c>
      <c r="T95" s="420">
        <v>4</v>
      </c>
      <c r="U95" s="420" t="s">
        <v>202</v>
      </c>
      <c r="V95" s="420">
        <v>1</v>
      </c>
      <c r="W95" s="420" t="s">
        <v>141</v>
      </c>
      <c r="X95" s="420">
        <v>700</v>
      </c>
      <c r="Y95" s="420" t="s">
        <v>203</v>
      </c>
      <c r="Z95" s="383"/>
      <c r="AA95" s="386">
        <f t="shared" si="1"/>
        <v>300</v>
      </c>
    </row>
    <row r="96" spans="1:27" ht="15">
      <c r="A96" s="420">
        <v>693</v>
      </c>
      <c r="B96" s="420" t="s">
        <v>133</v>
      </c>
      <c r="C96" s="420">
        <v>25357</v>
      </c>
      <c r="D96" s="420" t="s">
        <v>147</v>
      </c>
      <c r="E96" s="420" t="s">
        <v>148</v>
      </c>
      <c r="F96" s="420" t="s">
        <v>149</v>
      </c>
      <c r="G96" s="420" t="s">
        <v>137</v>
      </c>
      <c r="H96" s="420">
        <v>61043000</v>
      </c>
      <c r="I96" s="420">
        <v>112</v>
      </c>
      <c r="J96" s="420" t="s">
        <v>138</v>
      </c>
      <c r="K96" s="420">
        <v>70</v>
      </c>
      <c r="L96" s="420">
        <v>35</v>
      </c>
      <c r="M96" s="420">
        <v>71</v>
      </c>
      <c r="N96" s="420" t="s">
        <v>150</v>
      </c>
      <c r="O96" s="420">
        <v>162221000</v>
      </c>
      <c r="P96" s="421">
        <v>42621</v>
      </c>
      <c r="Q96" s="420">
        <v>7.6E-3</v>
      </c>
      <c r="R96" s="421">
        <v>43714</v>
      </c>
      <c r="S96" s="420">
        <v>114000</v>
      </c>
      <c r="T96" s="420">
        <v>2</v>
      </c>
      <c r="U96" s="420" t="s">
        <v>140</v>
      </c>
      <c r="V96" s="420">
        <v>1</v>
      </c>
      <c r="W96" s="420" t="s">
        <v>141</v>
      </c>
      <c r="X96" s="420">
        <v>430</v>
      </c>
      <c r="Y96" s="420" t="s">
        <v>142</v>
      </c>
      <c r="Z96" s="383"/>
      <c r="AA96" s="386">
        <f t="shared" si="1"/>
        <v>8.6639999999999997</v>
      </c>
    </row>
    <row r="97" spans="1:27" ht="15">
      <c r="A97" s="420">
        <v>597</v>
      </c>
      <c r="B97" s="420" t="s">
        <v>133</v>
      </c>
      <c r="C97" s="420">
        <v>28853</v>
      </c>
      <c r="D97" s="420" t="s">
        <v>143</v>
      </c>
      <c r="E97" s="420" t="s">
        <v>144</v>
      </c>
      <c r="F97" s="420" t="s">
        <v>145</v>
      </c>
      <c r="G97" s="420" t="s">
        <v>137</v>
      </c>
      <c r="H97" s="420">
        <v>61048000</v>
      </c>
      <c r="I97" s="420">
        <v>233</v>
      </c>
      <c r="J97" s="420" t="s">
        <v>138</v>
      </c>
      <c r="K97" s="420">
        <v>74</v>
      </c>
      <c r="L97" s="420">
        <v>37</v>
      </c>
      <c r="M97" s="420">
        <v>89</v>
      </c>
      <c r="N97" s="420" t="s">
        <v>146</v>
      </c>
      <c r="O97" s="420">
        <v>207658000</v>
      </c>
      <c r="P97" s="421">
        <v>42622</v>
      </c>
      <c r="Q97" s="420">
        <v>7.6E-3</v>
      </c>
      <c r="R97" s="421">
        <v>43717</v>
      </c>
      <c r="S97" s="420">
        <v>55000</v>
      </c>
      <c r="T97" s="420">
        <v>2</v>
      </c>
      <c r="U97" s="420" t="s">
        <v>140</v>
      </c>
      <c r="V97" s="420">
        <v>1</v>
      </c>
      <c r="W97" s="420" t="s">
        <v>141</v>
      </c>
      <c r="X97" s="420">
        <v>430</v>
      </c>
      <c r="Y97" s="420" t="s">
        <v>142</v>
      </c>
      <c r="Z97" s="383"/>
      <c r="AA97" s="386">
        <f t="shared" si="1"/>
        <v>4.1800000000000006</v>
      </c>
    </row>
    <row r="98" spans="1:27" ht="15">
      <c r="A98" s="420">
        <v>694</v>
      </c>
      <c r="B98" s="420" t="s">
        <v>133</v>
      </c>
      <c r="C98" s="420">
        <v>25357</v>
      </c>
      <c r="D98" s="420" t="s">
        <v>147</v>
      </c>
      <c r="E98" s="420" t="s">
        <v>148</v>
      </c>
      <c r="F98" s="420" t="s">
        <v>149</v>
      </c>
      <c r="G98" s="420" t="s">
        <v>137</v>
      </c>
      <c r="H98" s="420">
        <v>61043000</v>
      </c>
      <c r="I98" s="420">
        <v>112</v>
      </c>
      <c r="J98" s="420" t="s">
        <v>138</v>
      </c>
      <c r="K98" s="420">
        <v>70</v>
      </c>
      <c r="L98" s="420">
        <v>35</v>
      </c>
      <c r="M98" s="420">
        <v>71</v>
      </c>
      <c r="N98" s="420" t="s">
        <v>150</v>
      </c>
      <c r="O98" s="420">
        <v>162221000</v>
      </c>
      <c r="P98" s="421">
        <v>42629</v>
      </c>
      <c r="Q98" s="420">
        <v>7.6E-3</v>
      </c>
      <c r="R98" s="421">
        <v>43724</v>
      </c>
      <c r="S98" s="420">
        <v>15000</v>
      </c>
      <c r="T98" s="420">
        <v>2</v>
      </c>
      <c r="U98" s="420" t="s">
        <v>140</v>
      </c>
      <c r="V98" s="420">
        <v>1</v>
      </c>
      <c r="W98" s="420" t="s">
        <v>141</v>
      </c>
      <c r="X98" s="420">
        <v>430</v>
      </c>
      <c r="Y98" s="420" t="s">
        <v>142</v>
      </c>
      <c r="Z98" s="383"/>
      <c r="AA98" s="386">
        <f t="shared" si="1"/>
        <v>1.1400000000000001</v>
      </c>
    </row>
    <row r="99" spans="1:27" ht="15">
      <c r="A99" s="420">
        <v>397</v>
      </c>
      <c r="B99" s="420" t="s">
        <v>133</v>
      </c>
      <c r="C99" s="420">
        <v>7054</v>
      </c>
      <c r="D99" s="420" t="s">
        <v>134</v>
      </c>
      <c r="E99" s="420" t="s">
        <v>135</v>
      </c>
      <c r="F99" s="420" t="s">
        <v>136</v>
      </c>
      <c r="G99" s="420" t="s">
        <v>137</v>
      </c>
      <c r="H99" s="420">
        <v>62016000</v>
      </c>
      <c r="I99" s="420">
        <v>203</v>
      </c>
      <c r="J99" s="420" t="s">
        <v>138</v>
      </c>
      <c r="K99" s="420">
        <v>97</v>
      </c>
      <c r="L99" s="420">
        <v>49</v>
      </c>
      <c r="M99" s="420">
        <v>31</v>
      </c>
      <c r="N99" s="420" t="s">
        <v>139</v>
      </c>
      <c r="O99" s="420">
        <v>1214837000</v>
      </c>
      <c r="P99" s="421">
        <v>42634</v>
      </c>
      <c r="Q99" s="420">
        <v>4.5999999999999999E-3</v>
      </c>
      <c r="R99" s="421">
        <v>42999</v>
      </c>
      <c r="S99" s="420">
        <v>600000</v>
      </c>
      <c r="T99" s="420">
        <v>2</v>
      </c>
      <c r="U99" s="420" t="s">
        <v>140</v>
      </c>
      <c r="V99" s="420">
        <v>1</v>
      </c>
      <c r="W99" s="420" t="s">
        <v>141</v>
      </c>
      <c r="X99" s="420">
        <v>1</v>
      </c>
      <c r="Y99" s="420" t="s">
        <v>164</v>
      </c>
      <c r="Z99" s="383"/>
      <c r="AA99" s="386">
        <f t="shared" si="1"/>
        <v>27.6</v>
      </c>
    </row>
    <row r="100" spans="1:27" ht="15">
      <c r="A100" s="420">
        <v>598</v>
      </c>
      <c r="B100" s="420" t="s">
        <v>133</v>
      </c>
      <c r="C100" s="420">
        <v>28853</v>
      </c>
      <c r="D100" s="420" t="s">
        <v>143</v>
      </c>
      <c r="E100" s="420" t="s">
        <v>144</v>
      </c>
      <c r="F100" s="420" t="s">
        <v>145</v>
      </c>
      <c r="G100" s="420" t="s">
        <v>137</v>
      </c>
      <c r="H100" s="420">
        <v>61048000</v>
      </c>
      <c r="I100" s="420">
        <v>233</v>
      </c>
      <c r="J100" s="420" t="s">
        <v>138</v>
      </c>
      <c r="K100" s="420">
        <v>74</v>
      </c>
      <c r="L100" s="420">
        <v>37</v>
      </c>
      <c r="M100" s="420">
        <v>89</v>
      </c>
      <c r="N100" s="420" t="s">
        <v>146</v>
      </c>
      <c r="O100" s="420">
        <v>207658000</v>
      </c>
      <c r="P100" s="421">
        <v>42647</v>
      </c>
      <c r="Q100" s="420">
        <v>7.7000000000000002E-3</v>
      </c>
      <c r="R100" s="421">
        <v>43742</v>
      </c>
      <c r="S100" s="420">
        <v>22950</v>
      </c>
      <c r="T100" s="420">
        <v>2</v>
      </c>
      <c r="U100" s="420" t="s">
        <v>140</v>
      </c>
      <c r="V100" s="420">
        <v>1</v>
      </c>
      <c r="W100" s="420" t="s">
        <v>141</v>
      </c>
      <c r="X100" s="420">
        <v>430</v>
      </c>
      <c r="Y100" s="420" t="s">
        <v>142</v>
      </c>
      <c r="Z100" s="383"/>
      <c r="AA100" s="386">
        <f t="shared" si="1"/>
        <v>1.76715</v>
      </c>
    </row>
    <row r="101" spans="1:27" ht="15">
      <c r="A101" s="420">
        <v>695</v>
      </c>
      <c r="B101" s="420" t="s">
        <v>133</v>
      </c>
      <c r="C101" s="420">
        <v>25357</v>
      </c>
      <c r="D101" s="420" t="s">
        <v>147</v>
      </c>
      <c r="E101" s="420" t="s">
        <v>148</v>
      </c>
      <c r="F101" s="420" t="s">
        <v>149</v>
      </c>
      <c r="G101" s="420" t="s">
        <v>137</v>
      </c>
      <c r="H101" s="420">
        <v>61043000</v>
      </c>
      <c r="I101" s="420">
        <v>112</v>
      </c>
      <c r="J101" s="420" t="s">
        <v>138</v>
      </c>
      <c r="K101" s="420">
        <v>70</v>
      </c>
      <c r="L101" s="420">
        <v>35</v>
      </c>
      <c r="M101" s="420">
        <v>71</v>
      </c>
      <c r="N101" s="420" t="s">
        <v>150</v>
      </c>
      <c r="O101" s="420">
        <v>162221000</v>
      </c>
      <c r="P101" s="421">
        <v>42647</v>
      </c>
      <c r="Q101" s="420">
        <v>7.7000000000000002E-3</v>
      </c>
      <c r="R101" s="421">
        <v>43741</v>
      </c>
      <c r="S101" s="420">
        <v>11000</v>
      </c>
      <c r="T101" s="420">
        <v>2</v>
      </c>
      <c r="U101" s="420" t="s">
        <v>140</v>
      </c>
      <c r="V101" s="420">
        <v>1</v>
      </c>
      <c r="W101" s="420" t="s">
        <v>141</v>
      </c>
      <c r="X101" s="420">
        <v>430</v>
      </c>
      <c r="Y101" s="420" t="s">
        <v>142</v>
      </c>
      <c r="Z101" s="383"/>
      <c r="AA101" s="386">
        <f t="shared" si="1"/>
        <v>0.84699999999999998</v>
      </c>
    </row>
    <row r="102" spans="1:27" ht="15">
      <c r="A102" s="420">
        <v>574</v>
      </c>
      <c r="B102" s="420" t="s">
        <v>198</v>
      </c>
      <c r="C102" s="420">
        <v>45298</v>
      </c>
      <c r="D102" s="420" t="s">
        <v>199</v>
      </c>
      <c r="E102" s="420" t="s">
        <v>200</v>
      </c>
      <c r="F102" s="420" t="s">
        <v>201</v>
      </c>
      <c r="G102" s="420" t="s">
        <v>137</v>
      </c>
      <c r="H102" s="420">
        <v>61074000</v>
      </c>
      <c r="I102" s="420">
        <v>111</v>
      </c>
      <c r="J102" s="420" t="s">
        <v>138</v>
      </c>
      <c r="K102" s="420">
        <v>74</v>
      </c>
      <c r="L102" s="420">
        <v>37</v>
      </c>
      <c r="M102" s="420">
        <v>8</v>
      </c>
      <c r="N102" s="420" t="s">
        <v>168</v>
      </c>
      <c r="O102" s="420">
        <v>10957000</v>
      </c>
      <c r="P102" s="421">
        <v>42669</v>
      </c>
      <c r="Q102" s="420">
        <v>1.8200000000000001E-2</v>
      </c>
      <c r="R102" s="421">
        <v>43034</v>
      </c>
      <c r="S102" s="420">
        <v>75000</v>
      </c>
      <c r="T102" s="420">
        <v>4</v>
      </c>
      <c r="U102" s="420" t="s">
        <v>202</v>
      </c>
      <c r="V102" s="420">
        <v>1</v>
      </c>
      <c r="W102" s="420" t="s">
        <v>141</v>
      </c>
      <c r="X102" s="420">
        <v>700</v>
      </c>
      <c r="Y102" s="420" t="s">
        <v>203</v>
      </c>
      <c r="Z102" s="383"/>
      <c r="AA102" s="386">
        <f t="shared" si="1"/>
        <v>13.65</v>
      </c>
    </row>
    <row r="103" spans="1:27" ht="15">
      <c r="A103" s="420">
        <v>575</v>
      </c>
      <c r="B103" s="420" t="s">
        <v>198</v>
      </c>
      <c r="C103" s="420">
        <v>45298</v>
      </c>
      <c r="D103" s="420" t="s">
        <v>199</v>
      </c>
      <c r="E103" s="420" t="s">
        <v>200</v>
      </c>
      <c r="F103" s="420" t="s">
        <v>201</v>
      </c>
      <c r="G103" s="420" t="s">
        <v>137</v>
      </c>
      <c r="H103" s="420">
        <v>61074000</v>
      </c>
      <c r="I103" s="420">
        <v>111</v>
      </c>
      <c r="J103" s="420" t="s">
        <v>138</v>
      </c>
      <c r="K103" s="420">
        <v>74</v>
      </c>
      <c r="L103" s="420">
        <v>37</v>
      </c>
      <c r="M103" s="420">
        <v>8</v>
      </c>
      <c r="N103" s="420" t="s">
        <v>168</v>
      </c>
      <c r="O103" s="420">
        <v>10957000</v>
      </c>
      <c r="P103" s="421">
        <v>42669</v>
      </c>
      <c r="Q103" s="420">
        <v>2.0500000000000001E-2</v>
      </c>
      <c r="R103" s="421">
        <v>43399</v>
      </c>
      <c r="S103" s="420">
        <v>75000</v>
      </c>
      <c r="T103" s="420">
        <v>4</v>
      </c>
      <c r="U103" s="420" t="s">
        <v>202</v>
      </c>
      <c r="V103" s="420">
        <v>1</v>
      </c>
      <c r="W103" s="420" t="s">
        <v>141</v>
      </c>
      <c r="X103" s="420">
        <v>700</v>
      </c>
      <c r="Y103" s="420" t="s">
        <v>203</v>
      </c>
      <c r="Z103" s="383"/>
      <c r="AA103" s="386">
        <f t="shared" si="1"/>
        <v>15.375</v>
      </c>
    </row>
    <row r="104" spans="1:27" ht="15">
      <c r="A104" s="420">
        <v>240</v>
      </c>
      <c r="B104" s="420" t="s">
        <v>198</v>
      </c>
      <c r="C104" s="420">
        <v>34733</v>
      </c>
      <c r="D104" s="420" t="s">
        <v>208</v>
      </c>
      <c r="E104" s="420" t="s">
        <v>209</v>
      </c>
      <c r="F104" s="420" t="s">
        <v>210</v>
      </c>
      <c r="G104" s="420" t="s">
        <v>137</v>
      </c>
      <c r="H104" s="420">
        <v>62863000</v>
      </c>
      <c r="I104" s="420">
        <v>136</v>
      </c>
      <c r="J104" s="420" t="s">
        <v>138</v>
      </c>
      <c r="K104" s="420">
        <v>107</v>
      </c>
      <c r="L104" s="420">
        <v>54</v>
      </c>
      <c r="M104" s="420">
        <v>93</v>
      </c>
      <c r="N104" s="420" t="s">
        <v>211</v>
      </c>
      <c r="O104" s="420">
        <v>8476000</v>
      </c>
      <c r="P104" s="421">
        <v>42676</v>
      </c>
      <c r="Q104" s="420">
        <v>1.83E-2</v>
      </c>
      <c r="R104" s="421">
        <v>43041</v>
      </c>
      <c r="S104" s="420">
        <v>95000</v>
      </c>
      <c r="T104" s="420">
        <v>4</v>
      </c>
      <c r="U104" s="420" t="s">
        <v>202</v>
      </c>
      <c r="V104" s="420">
        <v>1</v>
      </c>
      <c r="W104" s="420" t="s">
        <v>141</v>
      </c>
      <c r="X104" s="420">
        <v>700</v>
      </c>
      <c r="Y104" s="420" t="s">
        <v>203</v>
      </c>
      <c r="Z104" s="383"/>
      <c r="AA104" s="386">
        <f t="shared" si="1"/>
        <v>17.385000000000002</v>
      </c>
    </row>
    <row r="105" spans="1:27" ht="15">
      <c r="A105" s="420">
        <v>398</v>
      </c>
      <c r="B105" s="420" t="s">
        <v>133</v>
      </c>
      <c r="C105" s="420">
        <v>7054</v>
      </c>
      <c r="D105" s="420" t="s">
        <v>134</v>
      </c>
      <c r="E105" s="420" t="s">
        <v>135</v>
      </c>
      <c r="F105" s="420" t="s">
        <v>136</v>
      </c>
      <c r="G105" s="420" t="s">
        <v>137</v>
      </c>
      <c r="H105" s="420">
        <v>62016000</v>
      </c>
      <c r="I105" s="420">
        <v>203</v>
      </c>
      <c r="J105" s="420" t="s">
        <v>138</v>
      </c>
      <c r="K105" s="420">
        <v>97</v>
      </c>
      <c r="L105" s="420">
        <v>49</v>
      </c>
      <c r="M105" s="420">
        <v>31</v>
      </c>
      <c r="N105" s="420" t="s">
        <v>139</v>
      </c>
      <c r="O105" s="420">
        <v>1214837000</v>
      </c>
      <c r="P105" s="421">
        <v>42695</v>
      </c>
      <c r="Q105" s="420">
        <v>7.7000000000000002E-3</v>
      </c>
      <c r="R105" s="421">
        <v>43790</v>
      </c>
      <c r="S105" s="420">
        <v>40000</v>
      </c>
      <c r="T105" s="420">
        <v>2</v>
      </c>
      <c r="U105" s="420" t="s">
        <v>140</v>
      </c>
      <c r="V105" s="420">
        <v>1</v>
      </c>
      <c r="W105" s="420" t="s">
        <v>141</v>
      </c>
      <c r="X105" s="420">
        <v>430</v>
      </c>
      <c r="Y105" s="420" t="s">
        <v>142</v>
      </c>
      <c r="Z105" s="383"/>
      <c r="AA105" s="386">
        <f t="shared" si="1"/>
        <v>3.08</v>
      </c>
    </row>
    <row r="106" spans="1:27" ht="15">
      <c r="A106" s="420">
        <v>32</v>
      </c>
      <c r="B106" s="420" t="s">
        <v>133</v>
      </c>
      <c r="C106" s="420">
        <v>40408</v>
      </c>
      <c r="D106" s="420" t="s">
        <v>215</v>
      </c>
      <c r="E106" s="420" t="s">
        <v>216</v>
      </c>
      <c r="F106" s="420" t="s">
        <v>217</v>
      </c>
      <c r="G106" s="420" t="s">
        <v>137</v>
      </c>
      <c r="H106" s="420">
        <v>61602000</v>
      </c>
      <c r="I106" s="420">
        <v>221</v>
      </c>
      <c r="J106" s="420" t="s">
        <v>138</v>
      </c>
      <c r="K106" s="420">
        <v>92</v>
      </c>
      <c r="L106" s="420">
        <v>46</v>
      </c>
      <c r="M106" s="420">
        <v>72</v>
      </c>
      <c r="N106" s="420" t="s">
        <v>218</v>
      </c>
      <c r="O106" s="420">
        <v>521633000</v>
      </c>
      <c r="P106" s="421">
        <v>42710</v>
      </c>
      <c r="Q106" s="420">
        <v>1.89E-2</v>
      </c>
      <c r="R106" s="421">
        <v>43075</v>
      </c>
      <c r="S106" s="420">
        <v>4000000</v>
      </c>
      <c r="T106" s="420">
        <v>4</v>
      </c>
      <c r="U106" s="420" t="s">
        <v>202</v>
      </c>
      <c r="V106" s="420">
        <v>1</v>
      </c>
      <c r="W106" s="420" t="s">
        <v>141</v>
      </c>
      <c r="X106" s="420">
        <v>700</v>
      </c>
      <c r="Y106" s="420" t="s">
        <v>203</v>
      </c>
      <c r="Z106" s="383"/>
      <c r="AA106" s="386">
        <f t="shared" si="1"/>
        <v>756</v>
      </c>
    </row>
    <row r="107" spans="1:27" ht="15">
      <c r="A107" s="420">
        <v>241</v>
      </c>
      <c r="B107" s="420" t="s">
        <v>198</v>
      </c>
      <c r="C107" s="420">
        <v>34733</v>
      </c>
      <c r="D107" s="420" t="s">
        <v>208</v>
      </c>
      <c r="E107" s="420" t="s">
        <v>209</v>
      </c>
      <c r="F107" s="420" t="s">
        <v>210</v>
      </c>
      <c r="G107" s="420" t="s">
        <v>137</v>
      </c>
      <c r="H107" s="420">
        <v>62863000</v>
      </c>
      <c r="I107" s="420">
        <v>136</v>
      </c>
      <c r="J107" s="420" t="s">
        <v>138</v>
      </c>
      <c r="K107" s="420">
        <v>107</v>
      </c>
      <c r="L107" s="420">
        <v>54</v>
      </c>
      <c r="M107" s="420">
        <v>93</v>
      </c>
      <c r="N107" s="420" t="s">
        <v>211</v>
      </c>
      <c r="O107" s="420">
        <v>8476000</v>
      </c>
      <c r="P107" s="421">
        <v>42710</v>
      </c>
      <c r="Q107" s="420">
        <v>1.89E-2</v>
      </c>
      <c r="R107" s="421">
        <v>43075</v>
      </c>
      <c r="S107" s="420">
        <v>95000</v>
      </c>
      <c r="T107" s="420">
        <v>4</v>
      </c>
      <c r="U107" s="420" t="s">
        <v>202</v>
      </c>
      <c r="V107" s="420">
        <v>12</v>
      </c>
      <c r="W107" s="420" t="s">
        <v>219</v>
      </c>
      <c r="X107" s="420">
        <v>712</v>
      </c>
      <c r="Y107" s="420" t="s">
        <v>219</v>
      </c>
      <c r="Z107" s="383"/>
      <c r="AA107" s="386">
        <f t="shared" si="1"/>
        <v>17.955000000000002</v>
      </c>
    </row>
    <row r="108" spans="1:27" ht="15">
      <c r="A108" s="420">
        <v>242</v>
      </c>
      <c r="B108" s="420" t="s">
        <v>198</v>
      </c>
      <c r="C108" s="420">
        <v>34733</v>
      </c>
      <c r="D108" s="420" t="s">
        <v>208</v>
      </c>
      <c r="E108" s="420" t="s">
        <v>209</v>
      </c>
      <c r="F108" s="420" t="s">
        <v>210</v>
      </c>
      <c r="G108" s="420" t="s">
        <v>137</v>
      </c>
      <c r="H108" s="420">
        <v>62863000</v>
      </c>
      <c r="I108" s="420">
        <v>136</v>
      </c>
      <c r="J108" s="420" t="s">
        <v>138</v>
      </c>
      <c r="K108" s="420">
        <v>107</v>
      </c>
      <c r="L108" s="420">
        <v>54</v>
      </c>
      <c r="M108" s="420">
        <v>93</v>
      </c>
      <c r="N108" s="420" t="s">
        <v>211</v>
      </c>
      <c r="O108" s="420">
        <v>8476000</v>
      </c>
      <c r="P108" s="421">
        <v>42710</v>
      </c>
      <c r="Q108" s="420">
        <v>1.89E-2</v>
      </c>
      <c r="R108" s="421">
        <v>43075</v>
      </c>
      <c r="S108" s="420">
        <v>95000</v>
      </c>
      <c r="T108" s="420">
        <v>4</v>
      </c>
      <c r="U108" s="420" t="s">
        <v>202</v>
      </c>
      <c r="V108" s="420">
        <v>10</v>
      </c>
      <c r="W108" s="420" t="s">
        <v>220</v>
      </c>
      <c r="X108" s="420">
        <v>710</v>
      </c>
      <c r="Y108" s="420" t="s">
        <v>221</v>
      </c>
      <c r="Z108" s="383"/>
      <c r="AA108" s="386">
        <f t="shared" si="1"/>
        <v>17.955000000000002</v>
      </c>
    </row>
    <row r="109" spans="1:27" ht="15">
      <c r="A109" s="420">
        <v>399</v>
      </c>
      <c r="B109" s="420" t="s">
        <v>133</v>
      </c>
      <c r="C109" s="420">
        <v>7054</v>
      </c>
      <c r="D109" s="420" t="s">
        <v>134</v>
      </c>
      <c r="E109" s="420" t="s">
        <v>135</v>
      </c>
      <c r="F109" s="420" t="s">
        <v>136</v>
      </c>
      <c r="G109" s="420" t="s">
        <v>137</v>
      </c>
      <c r="H109" s="420">
        <v>62016000</v>
      </c>
      <c r="I109" s="420">
        <v>203</v>
      </c>
      <c r="J109" s="420" t="s">
        <v>138</v>
      </c>
      <c r="K109" s="420">
        <v>97</v>
      </c>
      <c r="L109" s="420">
        <v>49</v>
      </c>
      <c r="M109" s="420">
        <v>31</v>
      </c>
      <c r="N109" s="420" t="s">
        <v>139</v>
      </c>
      <c r="O109" s="420">
        <v>1214837000</v>
      </c>
      <c r="P109" s="421">
        <v>42716</v>
      </c>
      <c r="Q109" s="420">
        <v>7.7999999999999996E-3</v>
      </c>
      <c r="R109" s="421">
        <v>43811</v>
      </c>
      <c r="S109" s="420">
        <v>48000</v>
      </c>
      <c r="T109" s="420">
        <v>2</v>
      </c>
      <c r="U109" s="420" t="s">
        <v>140</v>
      </c>
      <c r="V109" s="420">
        <v>1</v>
      </c>
      <c r="W109" s="420" t="s">
        <v>141</v>
      </c>
      <c r="X109" s="420">
        <v>430</v>
      </c>
      <c r="Y109" s="420" t="s">
        <v>142</v>
      </c>
      <c r="Z109" s="383"/>
      <c r="AA109" s="386">
        <f t="shared" si="1"/>
        <v>3.7439999999999998</v>
      </c>
    </row>
    <row r="110" spans="1:27" ht="15">
      <c r="A110" s="420">
        <v>41</v>
      </c>
      <c r="B110" s="420" t="s">
        <v>133</v>
      </c>
      <c r="C110" s="420">
        <v>38106</v>
      </c>
      <c r="D110" s="420" t="s">
        <v>191</v>
      </c>
      <c r="E110" s="420" t="s">
        <v>192</v>
      </c>
      <c r="F110" s="420" t="s">
        <v>193</v>
      </c>
      <c r="G110" s="420" t="s">
        <v>137</v>
      </c>
      <c r="H110" s="420">
        <v>62271000</v>
      </c>
      <c r="I110" s="420">
        <v>195</v>
      </c>
      <c r="J110" s="420" t="s">
        <v>138</v>
      </c>
      <c r="K110" s="420">
        <v>116</v>
      </c>
      <c r="L110" s="420">
        <v>58</v>
      </c>
      <c r="M110" s="420">
        <v>95</v>
      </c>
      <c r="N110" s="420" t="s">
        <v>194</v>
      </c>
      <c r="O110" s="420">
        <v>57826000</v>
      </c>
      <c r="P110" s="421">
        <v>42719</v>
      </c>
      <c r="Q110" s="420">
        <v>6.7000000000000002E-3</v>
      </c>
      <c r="R110" s="421">
        <v>43084</v>
      </c>
      <c r="S110" s="420">
        <v>490000</v>
      </c>
      <c r="T110" s="420">
        <v>2</v>
      </c>
      <c r="U110" s="420" t="s">
        <v>140</v>
      </c>
      <c r="V110" s="420">
        <v>1</v>
      </c>
      <c r="W110" s="420" t="s">
        <v>141</v>
      </c>
      <c r="X110" s="420">
        <v>1</v>
      </c>
      <c r="Y110" s="420" t="s">
        <v>164</v>
      </c>
      <c r="Z110" s="383"/>
      <c r="AA110" s="386">
        <f t="shared" si="1"/>
        <v>32.83</v>
      </c>
    </row>
    <row r="111" spans="1:27" ht="15">
      <c r="A111" s="420">
        <v>400</v>
      </c>
      <c r="B111" s="420" t="s">
        <v>133</v>
      </c>
      <c r="C111" s="420">
        <v>7054</v>
      </c>
      <c r="D111" s="420" t="s">
        <v>134</v>
      </c>
      <c r="E111" s="420" t="s">
        <v>135</v>
      </c>
      <c r="F111" s="420" t="s">
        <v>136</v>
      </c>
      <c r="G111" s="420" t="s">
        <v>137</v>
      </c>
      <c r="H111" s="420">
        <v>62016000</v>
      </c>
      <c r="I111" s="420">
        <v>203</v>
      </c>
      <c r="J111" s="420" t="s">
        <v>138</v>
      </c>
      <c r="K111" s="420">
        <v>97</v>
      </c>
      <c r="L111" s="420">
        <v>49</v>
      </c>
      <c r="M111" s="420">
        <v>31</v>
      </c>
      <c r="N111" s="420" t="s">
        <v>139</v>
      </c>
      <c r="O111" s="420">
        <v>1214837000</v>
      </c>
      <c r="P111" s="421">
        <v>42720</v>
      </c>
      <c r="Q111" s="420">
        <v>6.7000000000000002E-3</v>
      </c>
      <c r="R111" s="421">
        <v>43084</v>
      </c>
      <c r="S111" s="420">
        <v>80000</v>
      </c>
      <c r="T111" s="420">
        <v>2</v>
      </c>
      <c r="U111" s="420" t="s">
        <v>140</v>
      </c>
      <c r="V111" s="420">
        <v>1</v>
      </c>
      <c r="W111" s="420" t="s">
        <v>141</v>
      </c>
      <c r="X111" s="420">
        <v>1</v>
      </c>
      <c r="Y111" s="420" t="s">
        <v>164</v>
      </c>
      <c r="Z111" s="383"/>
      <c r="AA111" s="386">
        <f t="shared" si="1"/>
        <v>5.36</v>
      </c>
    </row>
    <row r="112" spans="1:27" ht="15">
      <c r="A112" s="420">
        <v>401</v>
      </c>
      <c r="B112" s="420" t="s">
        <v>133</v>
      </c>
      <c r="C112" s="420">
        <v>7054</v>
      </c>
      <c r="D112" s="420" t="s">
        <v>134</v>
      </c>
      <c r="E112" s="420" t="s">
        <v>135</v>
      </c>
      <c r="F112" s="420" t="s">
        <v>136</v>
      </c>
      <c r="G112" s="420" t="s">
        <v>137</v>
      </c>
      <c r="H112" s="420">
        <v>62016000</v>
      </c>
      <c r="I112" s="420">
        <v>203</v>
      </c>
      <c r="J112" s="420" t="s">
        <v>138</v>
      </c>
      <c r="K112" s="420">
        <v>97</v>
      </c>
      <c r="L112" s="420">
        <v>49</v>
      </c>
      <c r="M112" s="420">
        <v>31</v>
      </c>
      <c r="N112" s="420" t="s">
        <v>139</v>
      </c>
      <c r="O112" s="420">
        <v>1214837000</v>
      </c>
      <c r="P112" s="421">
        <v>42740</v>
      </c>
      <c r="Q112" s="420">
        <v>5.3E-3</v>
      </c>
      <c r="R112" s="421">
        <v>43105</v>
      </c>
      <c r="S112" s="420">
        <v>200000</v>
      </c>
      <c r="T112" s="420">
        <v>2</v>
      </c>
      <c r="U112" s="420" t="s">
        <v>140</v>
      </c>
      <c r="V112" s="420">
        <v>1</v>
      </c>
      <c r="W112" s="420" t="s">
        <v>141</v>
      </c>
      <c r="X112" s="420">
        <v>1</v>
      </c>
      <c r="Y112" s="420" t="s">
        <v>164</v>
      </c>
      <c r="Z112" s="383"/>
      <c r="AA112" s="386">
        <f t="shared" si="1"/>
        <v>10.6</v>
      </c>
    </row>
    <row r="113" spans="1:27" ht="15">
      <c r="A113" s="420">
        <v>185</v>
      </c>
      <c r="B113" s="420" t="s">
        <v>133</v>
      </c>
      <c r="C113" s="420">
        <v>32300</v>
      </c>
      <c r="D113" s="420" t="s">
        <v>181</v>
      </c>
      <c r="E113" s="420" t="s">
        <v>182</v>
      </c>
      <c r="F113" s="420" t="s">
        <v>183</v>
      </c>
      <c r="G113" s="420" t="s">
        <v>137</v>
      </c>
      <c r="H113" s="420">
        <v>62864000</v>
      </c>
      <c r="I113" s="420">
        <v>208</v>
      </c>
      <c r="J113" s="420" t="s">
        <v>138</v>
      </c>
      <c r="K113" s="420">
        <v>107</v>
      </c>
      <c r="L113" s="420">
        <v>54</v>
      </c>
      <c r="M113" s="420">
        <v>33</v>
      </c>
      <c r="N113" s="420" t="s">
        <v>184</v>
      </c>
      <c r="O113" s="420">
        <v>978475000</v>
      </c>
      <c r="P113" s="421">
        <v>42741</v>
      </c>
      <c r="Q113" s="420">
        <v>5.3E-3</v>
      </c>
      <c r="R113" s="421">
        <v>43105</v>
      </c>
      <c r="S113" s="420">
        <v>560000</v>
      </c>
      <c r="T113" s="420">
        <v>2</v>
      </c>
      <c r="U113" s="420" t="s">
        <v>140</v>
      </c>
      <c r="V113" s="420">
        <v>1</v>
      </c>
      <c r="W113" s="420" t="s">
        <v>141</v>
      </c>
      <c r="X113" s="420">
        <v>1</v>
      </c>
      <c r="Y113" s="420" t="s">
        <v>164</v>
      </c>
      <c r="Z113" s="383"/>
      <c r="AA113" s="386">
        <f t="shared" si="1"/>
        <v>29.68</v>
      </c>
    </row>
    <row r="114" spans="1:27" ht="15">
      <c r="A114" s="420">
        <v>402</v>
      </c>
      <c r="B114" s="420" t="s">
        <v>133</v>
      </c>
      <c r="C114" s="420">
        <v>7054</v>
      </c>
      <c r="D114" s="420" t="s">
        <v>134</v>
      </c>
      <c r="E114" s="420" t="s">
        <v>135</v>
      </c>
      <c r="F114" s="420" t="s">
        <v>136</v>
      </c>
      <c r="G114" s="420" t="s">
        <v>137</v>
      </c>
      <c r="H114" s="420">
        <v>62016000</v>
      </c>
      <c r="I114" s="420">
        <v>203</v>
      </c>
      <c r="J114" s="420" t="s">
        <v>138</v>
      </c>
      <c r="K114" s="420">
        <v>97</v>
      </c>
      <c r="L114" s="420">
        <v>49</v>
      </c>
      <c r="M114" s="420">
        <v>31</v>
      </c>
      <c r="N114" s="420" t="s">
        <v>139</v>
      </c>
      <c r="O114" s="420">
        <v>1214837000</v>
      </c>
      <c r="P114" s="421">
        <v>42748</v>
      </c>
      <c r="Q114" s="420">
        <v>5.3E-3</v>
      </c>
      <c r="R114" s="421">
        <v>43112</v>
      </c>
      <c r="S114" s="420">
        <v>405000</v>
      </c>
      <c r="T114" s="420">
        <v>2</v>
      </c>
      <c r="U114" s="420" t="s">
        <v>140</v>
      </c>
      <c r="V114" s="420">
        <v>1</v>
      </c>
      <c r="W114" s="420" t="s">
        <v>141</v>
      </c>
      <c r="X114" s="420">
        <v>1</v>
      </c>
      <c r="Y114" s="420" t="s">
        <v>164</v>
      </c>
      <c r="Z114" s="383"/>
      <c r="AA114" s="386">
        <f t="shared" si="1"/>
        <v>21.465</v>
      </c>
    </row>
    <row r="115" spans="1:27" ht="15">
      <c r="A115" s="420">
        <v>186</v>
      </c>
      <c r="B115" s="420" t="s">
        <v>133</v>
      </c>
      <c r="C115" s="420">
        <v>32300</v>
      </c>
      <c r="D115" s="420" t="s">
        <v>181</v>
      </c>
      <c r="E115" s="420" t="s">
        <v>182</v>
      </c>
      <c r="F115" s="420" t="s">
        <v>183</v>
      </c>
      <c r="G115" s="420" t="s">
        <v>137</v>
      </c>
      <c r="H115" s="420">
        <v>62864000</v>
      </c>
      <c r="I115" s="420">
        <v>208</v>
      </c>
      <c r="J115" s="420" t="s">
        <v>138</v>
      </c>
      <c r="K115" s="420">
        <v>107</v>
      </c>
      <c r="L115" s="420">
        <v>54</v>
      </c>
      <c r="M115" s="420">
        <v>33</v>
      </c>
      <c r="N115" s="420" t="s">
        <v>184</v>
      </c>
      <c r="O115" s="420">
        <v>978475000</v>
      </c>
      <c r="P115" s="421">
        <v>42752</v>
      </c>
      <c r="Q115" s="420">
        <v>5.3E-3</v>
      </c>
      <c r="R115" s="421">
        <v>43117</v>
      </c>
      <c r="S115" s="420">
        <v>200000</v>
      </c>
      <c r="T115" s="420">
        <v>2</v>
      </c>
      <c r="U115" s="420" t="s">
        <v>140</v>
      </c>
      <c r="V115" s="420">
        <v>1</v>
      </c>
      <c r="W115" s="420" t="s">
        <v>141</v>
      </c>
      <c r="X115" s="420">
        <v>1</v>
      </c>
      <c r="Y115" s="420" t="s">
        <v>164</v>
      </c>
      <c r="Z115" s="383"/>
      <c r="AA115" s="386">
        <f t="shared" si="1"/>
        <v>10.6</v>
      </c>
    </row>
    <row r="116" spans="1:27" ht="15">
      <c r="A116" s="420">
        <v>218</v>
      </c>
      <c r="B116" s="420" t="s">
        <v>133</v>
      </c>
      <c r="C116" s="420">
        <v>29850</v>
      </c>
      <c r="D116" s="420" t="s">
        <v>169</v>
      </c>
      <c r="E116" s="420" t="s">
        <v>170</v>
      </c>
      <c r="F116" s="420" t="s">
        <v>171</v>
      </c>
      <c r="G116" s="420" t="s">
        <v>137</v>
      </c>
      <c r="H116" s="420">
        <v>62056000</v>
      </c>
      <c r="I116" s="420">
        <v>155</v>
      </c>
      <c r="J116" s="420" t="s">
        <v>138</v>
      </c>
      <c r="K116" s="420">
        <v>98</v>
      </c>
      <c r="L116" s="420">
        <v>49</v>
      </c>
      <c r="M116" s="420">
        <v>68</v>
      </c>
      <c r="N116" s="420" t="s">
        <v>172</v>
      </c>
      <c r="O116" s="420">
        <v>84623000</v>
      </c>
      <c r="P116" s="421">
        <v>42753</v>
      </c>
      <c r="Q116" s="420">
        <v>5.3E-3</v>
      </c>
      <c r="R116" s="421">
        <v>43118</v>
      </c>
      <c r="S116" s="420">
        <v>4700000</v>
      </c>
      <c r="T116" s="420">
        <v>2</v>
      </c>
      <c r="U116" s="420" t="s">
        <v>140</v>
      </c>
      <c r="V116" s="420">
        <v>1</v>
      </c>
      <c r="W116" s="420" t="s">
        <v>141</v>
      </c>
      <c r="X116" s="420">
        <v>1</v>
      </c>
      <c r="Y116" s="420" t="s">
        <v>164</v>
      </c>
      <c r="Z116" s="383"/>
      <c r="AA116" s="386">
        <f t="shared" si="1"/>
        <v>249.1</v>
      </c>
    </row>
    <row r="117" spans="1:27" ht="15">
      <c r="A117" s="420">
        <v>696</v>
      </c>
      <c r="B117" s="420" t="s">
        <v>133</v>
      </c>
      <c r="C117" s="420">
        <v>25357</v>
      </c>
      <c r="D117" s="420" t="s">
        <v>147</v>
      </c>
      <c r="E117" s="420" t="s">
        <v>148</v>
      </c>
      <c r="F117" s="420" t="s">
        <v>149</v>
      </c>
      <c r="G117" s="420" t="s">
        <v>137</v>
      </c>
      <c r="H117" s="420">
        <v>61043000</v>
      </c>
      <c r="I117" s="420">
        <v>112</v>
      </c>
      <c r="J117" s="420" t="s">
        <v>138</v>
      </c>
      <c r="K117" s="420">
        <v>70</v>
      </c>
      <c r="L117" s="420">
        <v>35</v>
      </c>
      <c r="M117" s="420">
        <v>71</v>
      </c>
      <c r="N117" s="420" t="s">
        <v>150</v>
      </c>
      <c r="O117" s="420">
        <v>162221000</v>
      </c>
      <c r="P117" s="421">
        <v>42755</v>
      </c>
      <c r="Q117" s="420">
        <v>8.0000000000000002E-3</v>
      </c>
      <c r="R117" s="421">
        <v>43847</v>
      </c>
      <c r="S117" s="420">
        <v>13400</v>
      </c>
      <c r="T117" s="420">
        <v>2</v>
      </c>
      <c r="U117" s="420" t="s">
        <v>140</v>
      </c>
      <c r="V117" s="420">
        <v>1</v>
      </c>
      <c r="W117" s="420" t="s">
        <v>141</v>
      </c>
      <c r="X117" s="420">
        <v>430</v>
      </c>
      <c r="Y117" s="420" t="s">
        <v>142</v>
      </c>
      <c r="Z117" s="383"/>
      <c r="AA117" s="386">
        <f t="shared" si="1"/>
        <v>1.0720000000000001</v>
      </c>
    </row>
    <row r="118" spans="1:27" ht="15">
      <c r="A118" s="420">
        <v>339</v>
      </c>
      <c r="B118" s="420" t="s">
        <v>133</v>
      </c>
      <c r="C118" s="420">
        <v>26859</v>
      </c>
      <c r="D118" s="420" t="s">
        <v>222</v>
      </c>
      <c r="E118" s="420" t="s">
        <v>223</v>
      </c>
      <c r="F118" s="420" t="s">
        <v>224</v>
      </c>
      <c r="G118" s="420" t="s">
        <v>137</v>
      </c>
      <c r="H118" s="420">
        <v>61260000</v>
      </c>
      <c r="I118" s="420">
        <v>118</v>
      </c>
      <c r="J118" s="420" t="s">
        <v>138</v>
      </c>
      <c r="K118" s="420">
        <v>72</v>
      </c>
      <c r="L118" s="420">
        <v>36</v>
      </c>
      <c r="M118" s="420">
        <v>66</v>
      </c>
      <c r="N118" s="420" t="s">
        <v>225</v>
      </c>
      <c r="O118" s="420">
        <v>35976000</v>
      </c>
      <c r="P118" s="421">
        <v>42760</v>
      </c>
      <c r="Q118" s="420">
        <v>5.3E-3</v>
      </c>
      <c r="R118" s="421">
        <v>43125</v>
      </c>
      <c r="S118" s="420">
        <v>1700000</v>
      </c>
      <c r="T118" s="420">
        <v>2</v>
      </c>
      <c r="U118" s="420" t="s">
        <v>140</v>
      </c>
      <c r="V118" s="420">
        <v>1</v>
      </c>
      <c r="W118" s="420" t="s">
        <v>141</v>
      </c>
      <c r="X118" s="420">
        <v>1</v>
      </c>
      <c r="Y118" s="420" t="s">
        <v>164</v>
      </c>
      <c r="Z118" s="383"/>
      <c r="AA118" s="386">
        <f t="shared" si="1"/>
        <v>90.1</v>
      </c>
    </row>
    <row r="119" spans="1:27" ht="15">
      <c r="A119" s="420">
        <v>403</v>
      </c>
      <c r="B119" s="420" t="s">
        <v>133</v>
      </c>
      <c r="C119" s="420">
        <v>7054</v>
      </c>
      <c r="D119" s="420" t="s">
        <v>134</v>
      </c>
      <c r="E119" s="420" t="s">
        <v>135</v>
      </c>
      <c r="F119" s="420" t="s">
        <v>136</v>
      </c>
      <c r="G119" s="420" t="s">
        <v>137</v>
      </c>
      <c r="H119" s="420">
        <v>62016000</v>
      </c>
      <c r="I119" s="420">
        <v>203</v>
      </c>
      <c r="J119" s="420" t="s">
        <v>138</v>
      </c>
      <c r="K119" s="420">
        <v>97</v>
      </c>
      <c r="L119" s="420">
        <v>49</v>
      </c>
      <c r="M119" s="420">
        <v>31</v>
      </c>
      <c r="N119" s="420" t="s">
        <v>139</v>
      </c>
      <c r="O119" s="420">
        <v>1214837000</v>
      </c>
      <c r="P119" s="421">
        <v>42760</v>
      </c>
      <c r="Q119" s="420">
        <v>8.0000000000000002E-3</v>
      </c>
      <c r="R119" s="421">
        <v>43854</v>
      </c>
      <c r="S119" s="420">
        <v>67000</v>
      </c>
      <c r="T119" s="420">
        <v>2</v>
      </c>
      <c r="U119" s="420" t="s">
        <v>140</v>
      </c>
      <c r="V119" s="420">
        <v>1</v>
      </c>
      <c r="W119" s="420" t="s">
        <v>141</v>
      </c>
      <c r="X119" s="420">
        <v>430</v>
      </c>
      <c r="Y119" s="420" t="s">
        <v>142</v>
      </c>
      <c r="Z119" s="383"/>
      <c r="AA119" s="386">
        <f t="shared" si="1"/>
        <v>5.36</v>
      </c>
    </row>
    <row r="120" spans="1:27" ht="15">
      <c r="A120" s="420">
        <v>187</v>
      </c>
      <c r="B120" s="420" t="s">
        <v>133</v>
      </c>
      <c r="C120" s="420">
        <v>32300</v>
      </c>
      <c r="D120" s="420" t="s">
        <v>181</v>
      </c>
      <c r="E120" s="420" t="s">
        <v>182</v>
      </c>
      <c r="F120" s="420" t="s">
        <v>183</v>
      </c>
      <c r="G120" s="420" t="s">
        <v>137</v>
      </c>
      <c r="H120" s="420">
        <v>62864000</v>
      </c>
      <c r="I120" s="420">
        <v>208</v>
      </c>
      <c r="J120" s="420" t="s">
        <v>138</v>
      </c>
      <c r="K120" s="420">
        <v>107</v>
      </c>
      <c r="L120" s="420">
        <v>54</v>
      </c>
      <c r="M120" s="420">
        <v>33</v>
      </c>
      <c r="N120" s="420" t="s">
        <v>184</v>
      </c>
      <c r="O120" s="420">
        <v>978475000</v>
      </c>
      <c r="P120" s="421">
        <v>42761</v>
      </c>
      <c r="Q120" s="420">
        <v>5.3E-3</v>
      </c>
      <c r="R120" s="421">
        <v>43126</v>
      </c>
      <c r="S120" s="420">
        <v>250000</v>
      </c>
      <c r="T120" s="420">
        <v>2</v>
      </c>
      <c r="U120" s="420" t="s">
        <v>140</v>
      </c>
      <c r="V120" s="420">
        <v>1</v>
      </c>
      <c r="W120" s="420" t="s">
        <v>141</v>
      </c>
      <c r="X120" s="420">
        <v>1</v>
      </c>
      <c r="Y120" s="420" t="s">
        <v>164</v>
      </c>
      <c r="Z120" s="383"/>
      <c r="AA120" s="386">
        <f t="shared" si="1"/>
        <v>13.25</v>
      </c>
    </row>
    <row r="121" spans="1:27" ht="15">
      <c r="A121" s="420">
        <v>404</v>
      </c>
      <c r="B121" s="420" t="s">
        <v>133</v>
      </c>
      <c r="C121" s="420">
        <v>7054</v>
      </c>
      <c r="D121" s="420" t="s">
        <v>134</v>
      </c>
      <c r="E121" s="420" t="s">
        <v>135</v>
      </c>
      <c r="F121" s="420" t="s">
        <v>136</v>
      </c>
      <c r="G121" s="420" t="s">
        <v>137</v>
      </c>
      <c r="H121" s="420">
        <v>62016000</v>
      </c>
      <c r="I121" s="420">
        <v>203</v>
      </c>
      <c r="J121" s="420" t="s">
        <v>138</v>
      </c>
      <c r="K121" s="420">
        <v>97</v>
      </c>
      <c r="L121" s="420">
        <v>49</v>
      </c>
      <c r="M121" s="420">
        <v>31</v>
      </c>
      <c r="N121" s="420" t="s">
        <v>139</v>
      </c>
      <c r="O121" s="420">
        <v>1214837000</v>
      </c>
      <c r="P121" s="421">
        <v>42761</v>
      </c>
      <c r="Q121" s="420">
        <v>5.3E-3</v>
      </c>
      <c r="R121" s="421">
        <v>43126</v>
      </c>
      <c r="S121" s="420">
        <v>1100000</v>
      </c>
      <c r="T121" s="420">
        <v>2</v>
      </c>
      <c r="U121" s="420" t="s">
        <v>140</v>
      </c>
      <c r="V121" s="420">
        <v>1</v>
      </c>
      <c r="W121" s="420" t="s">
        <v>141</v>
      </c>
      <c r="X121" s="420">
        <v>1</v>
      </c>
      <c r="Y121" s="420" t="s">
        <v>164</v>
      </c>
      <c r="Z121" s="383"/>
      <c r="AA121" s="386">
        <f t="shared" si="1"/>
        <v>58.300000000000004</v>
      </c>
    </row>
    <row r="122" spans="1:27" ht="15">
      <c r="A122" s="420">
        <v>405</v>
      </c>
      <c r="B122" s="420" t="s">
        <v>133</v>
      </c>
      <c r="C122" s="420">
        <v>7054</v>
      </c>
      <c r="D122" s="420" t="s">
        <v>134</v>
      </c>
      <c r="E122" s="420" t="s">
        <v>135</v>
      </c>
      <c r="F122" s="420" t="s">
        <v>136</v>
      </c>
      <c r="G122" s="420" t="s">
        <v>137</v>
      </c>
      <c r="H122" s="420">
        <v>62016000</v>
      </c>
      <c r="I122" s="420">
        <v>203</v>
      </c>
      <c r="J122" s="420" t="s">
        <v>138</v>
      </c>
      <c r="K122" s="420">
        <v>97</v>
      </c>
      <c r="L122" s="420">
        <v>49</v>
      </c>
      <c r="M122" s="420">
        <v>31</v>
      </c>
      <c r="N122" s="420" t="s">
        <v>139</v>
      </c>
      <c r="O122" s="420">
        <v>1214837000</v>
      </c>
      <c r="P122" s="421">
        <v>42769</v>
      </c>
      <c r="Q122" s="420">
        <v>8.0999999999999996E-3</v>
      </c>
      <c r="R122" s="421">
        <v>43864</v>
      </c>
      <c r="S122" s="420">
        <v>62000</v>
      </c>
      <c r="T122" s="420">
        <v>2</v>
      </c>
      <c r="U122" s="420" t="s">
        <v>140</v>
      </c>
      <c r="V122" s="420">
        <v>1</v>
      </c>
      <c r="W122" s="420" t="s">
        <v>141</v>
      </c>
      <c r="X122" s="420">
        <v>430</v>
      </c>
      <c r="Y122" s="420" t="s">
        <v>142</v>
      </c>
      <c r="Z122" s="383"/>
      <c r="AA122" s="386">
        <f t="shared" si="1"/>
        <v>5.0219999999999994</v>
      </c>
    </row>
    <row r="123" spans="1:27" ht="15">
      <c r="A123" s="420">
        <v>547</v>
      </c>
      <c r="B123" s="420" t="s">
        <v>133</v>
      </c>
      <c r="C123" s="420">
        <v>31303</v>
      </c>
      <c r="D123" s="420" t="s">
        <v>160</v>
      </c>
      <c r="E123" s="420" t="s">
        <v>161</v>
      </c>
      <c r="F123" s="420" t="s">
        <v>162</v>
      </c>
      <c r="G123" s="420" t="s">
        <v>137</v>
      </c>
      <c r="H123" s="420">
        <v>62930000</v>
      </c>
      <c r="I123" s="420">
        <v>241</v>
      </c>
      <c r="J123" s="420" t="s">
        <v>138</v>
      </c>
      <c r="K123" s="420">
        <v>117</v>
      </c>
      <c r="L123" s="420">
        <v>59</v>
      </c>
      <c r="M123" s="420">
        <v>100</v>
      </c>
      <c r="N123" s="420" t="s">
        <v>163</v>
      </c>
      <c r="O123" s="420">
        <v>1264856000</v>
      </c>
      <c r="P123" s="421">
        <v>42773</v>
      </c>
      <c r="Q123" s="420">
        <v>5.4000000000000003E-3</v>
      </c>
      <c r="R123" s="421">
        <v>43137</v>
      </c>
      <c r="S123" s="420">
        <v>2040000</v>
      </c>
      <c r="T123" s="420">
        <v>2</v>
      </c>
      <c r="U123" s="420" t="s">
        <v>140</v>
      </c>
      <c r="V123" s="420">
        <v>1</v>
      </c>
      <c r="W123" s="420" t="s">
        <v>141</v>
      </c>
      <c r="X123" s="420">
        <v>1</v>
      </c>
      <c r="Y123" s="420" t="s">
        <v>164</v>
      </c>
      <c r="Z123" s="383"/>
      <c r="AA123" s="386">
        <f t="shared" si="1"/>
        <v>110.16000000000001</v>
      </c>
    </row>
    <row r="124" spans="1:27" ht="15">
      <c r="A124" s="420">
        <v>406</v>
      </c>
      <c r="B124" s="420" t="s">
        <v>133</v>
      </c>
      <c r="C124" s="420">
        <v>7054</v>
      </c>
      <c r="D124" s="420" t="s">
        <v>134</v>
      </c>
      <c r="E124" s="420" t="s">
        <v>135</v>
      </c>
      <c r="F124" s="420" t="s">
        <v>136</v>
      </c>
      <c r="G124" s="420" t="s">
        <v>137</v>
      </c>
      <c r="H124" s="420">
        <v>62016000</v>
      </c>
      <c r="I124" s="420">
        <v>203</v>
      </c>
      <c r="J124" s="420" t="s">
        <v>138</v>
      </c>
      <c r="K124" s="420">
        <v>97</v>
      </c>
      <c r="L124" s="420">
        <v>49</v>
      </c>
      <c r="M124" s="420">
        <v>31</v>
      </c>
      <c r="N124" s="420" t="s">
        <v>139</v>
      </c>
      <c r="O124" s="420">
        <v>1214837000</v>
      </c>
      <c r="P124" s="421">
        <v>42776</v>
      </c>
      <c r="Q124" s="420">
        <v>5.4000000000000003E-3</v>
      </c>
      <c r="R124" s="421">
        <v>43140</v>
      </c>
      <c r="S124" s="420">
        <v>970000</v>
      </c>
      <c r="T124" s="420">
        <v>2</v>
      </c>
      <c r="U124" s="420" t="s">
        <v>140</v>
      </c>
      <c r="V124" s="420">
        <v>1</v>
      </c>
      <c r="W124" s="420" t="s">
        <v>141</v>
      </c>
      <c r="X124" s="420">
        <v>1</v>
      </c>
      <c r="Y124" s="420" t="s">
        <v>164</v>
      </c>
      <c r="Z124" s="383"/>
      <c r="AA124" s="386">
        <f t="shared" si="1"/>
        <v>52.38</v>
      </c>
    </row>
    <row r="125" spans="1:27" ht="15">
      <c r="A125" s="420">
        <v>546</v>
      </c>
      <c r="B125" s="420" t="s">
        <v>133</v>
      </c>
      <c r="C125" s="420">
        <v>31303</v>
      </c>
      <c r="D125" s="420" t="s">
        <v>160</v>
      </c>
      <c r="E125" s="420" t="s">
        <v>161</v>
      </c>
      <c r="F125" s="420" t="s">
        <v>162</v>
      </c>
      <c r="G125" s="420" t="s">
        <v>137</v>
      </c>
      <c r="H125" s="420">
        <v>62930000</v>
      </c>
      <c r="I125" s="420">
        <v>241</v>
      </c>
      <c r="J125" s="420" t="s">
        <v>138</v>
      </c>
      <c r="K125" s="420">
        <v>117</v>
      </c>
      <c r="L125" s="420">
        <v>59</v>
      </c>
      <c r="M125" s="420">
        <v>100</v>
      </c>
      <c r="N125" s="420" t="s">
        <v>163</v>
      </c>
      <c r="O125" s="420">
        <v>1264856000</v>
      </c>
      <c r="P125" s="421">
        <v>42776</v>
      </c>
      <c r="Q125" s="420">
        <v>5.4000000000000003E-3</v>
      </c>
      <c r="R125" s="421">
        <v>43140</v>
      </c>
      <c r="S125" s="420">
        <v>3045000</v>
      </c>
      <c r="T125" s="420">
        <v>2</v>
      </c>
      <c r="U125" s="420" t="s">
        <v>140</v>
      </c>
      <c r="V125" s="420">
        <v>1</v>
      </c>
      <c r="W125" s="420" t="s">
        <v>141</v>
      </c>
      <c r="X125" s="420">
        <v>1</v>
      </c>
      <c r="Y125" s="420" t="s">
        <v>164</v>
      </c>
      <c r="Z125" s="383"/>
      <c r="AA125" s="386">
        <f t="shared" si="1"/>
        <v>164.43</v>
      </c>
    </row>
    <row r="126" spans="1:27" ht="15">
      <c r="A126" s="420">
        <v>668</v>
      </c>
      <c r="B126" s="420" t="s">
        <v>133</v>
      </c>
      <c r="C126" s="420">
        <v>33259</v>
      </c>
      <c r="D126" s="420" t="s">
        <v>165</v>
      </c>
      <c r="E126" s="420" t="s">
        <v>166</v>
      </c>
      <c r="F126" s="420" t="s">
        <v>167</v>
      </c>
      <c r="G126" s="420" t="s">
        <v>137</v>
      </c>
      <c r="H126" s="420">
        <v>61051000</v>
      </c>
      <c r="I126" s="420">
        <v>268</v>
      </c>
      <c r="J126" s="420" t="s">
        <v>138</v>
      </c>
      <c r="K126" s="420">
        <v>74</v>
      </c>
      <c r="L126" s="420">
        <v>37</v>
      </c>
      <c r="M126" s="420">
        <v>8</v>
      </c>
      <c r="N126" s="420" t="s">
        <v>168</v>
      </c>
      <c r="O126" s="420">
        <v>91388000</v>
      </c>
      <c r="P126" s="421">
        <v>42776</v>
      </c>
      <c r="Q126" s="420">
        <v>5.4000000000000003E-3</v>
      </c>
      <c r="R126" s="421">
        <v>43140</v>
      </c>
      <c r="S126" s="420">
        <v>600000</v>
      </c>
      <c r="T126" s="420">
        <v>2</v>
      </c>
      <c r="U126" s="420" t="s">
        <v>140</v>
      </c>
      <c r="V126" s="420">
        <v>1</v>
      </c>
      <c r="W126" s="420" t="s">
        <v>141</v>
      </c>
      <c r="X126" s="420">
        <v>1</v>
      </c>
      <c r="Y126" s="420" t="s">
        <v>164</v>
      </c>
      <c r="Z126" s="383"/>
      <c r="AA126" s="386">
        <f t="shared" si="1"/>
        <v>32.400000000000006</v>
      </c>
    </row>
    <row r="127" spans="1:27" ht="15">
      <c r="A127" s="420">
        <v>407</v>
      </c>
      <c r="B127" s="420" t="s">
        <v>133</v>
      </c>
      <c r="C127" s="420">
        <v>7054</v>
      </c>
      <c r="D127" s="420" t="s">
        <v>134</v>
      </c>
      <c r="E127" s="420" t="s">
        <v>135</v>
      </c>
      <c r="F127" s="420" t="s">
        <v>136</v>
      </c>
      <c r="G127" s="420" t="s">
        <v>137</v>
      </c>
      <c r="H127" s="420">
        <v>62016000</v>
      </c>
      <c r="I127" s="420">
        <v>203</v>
      </c>
      <c r="J127" s="420" t="s">
        <v>138</v>
      </c>
      <c r="K127" s="420">
        <v>97</v>
      </c>
      <c r="L127" s="420">
        <v>49</v>
      </c>
      <c r="M127" s="420">
        <v>31</v>
      </c>
      <c r="N127" s="420" t="s">
        <v>139</v>
      </c>
      <c r="O127" s="420">
        <v>1214837000</v>
      </c>
      <c r="P127" s="421">
        <v>42782</v>
      </c>
      <c r="Q127" s="420">
        <v>5.4000000000000003E-3</v>
      </c>
      <c r="R127" s="421">
        <v>43147</v>
      </c>
      <c r="S127" s="420">
        <v>250000</v>
      </c>
      <c r="T127" s="420">
        <v>2</v>
      </c>
      <c r="U127" s="420" t="s">
        <v>140</v>
      </c>
      <c r="V127" s="420">
        <v>1</v>
      </c>
      <c r="W127" s="420" t="s">
        <v>141</v>
      </c>
      <c r="X127" s="420">
        <v>1</v>
      </c>
      <c r="Y127" s="420" t="s">
        <v>164</v>
      </c>
      <c r="Z127" s="383"/>
      <c r="AA127" s="386">
        <f t="shared" si="1"/>
        <v>13.500000000000002</v>
      </c>
    </row>
    <row r="128" spans="1:27" ht="15">
      <c r="A128" s="420">
        <v>408</v>
      </c>
      <c r="B128" s="420" t="s">
        <v>133</v>
      </c>
      <c r="C128" s="420">
        <v>7054</v>
      </c>
      <c r="D128" s="420" t="s">
        <v>134</v>
      </c>
      <c r="E128" s="420" t="s">
        <v>135</v>
      </c>
      <c r="F128" s="420" t="s">
        <v>136</v>
      </c>
      <c r="G128" s="420" t="s">
        <v>137</v>
      </c>
      <c r="H128" s="420">
        <v>62016000</v>
      </c>
      <c r="I128" s="420">
        <v>203</v>
      </c>
      <c r="J128" s="420" t="s">
        <v>138</v>
      </c>
      <c r="K128" s="420">
        <v>97</v>
      </c>
      <c r="L128" s="420">
        <v>49</v>
      </c>
      <c r="M128" s="420">
        <v>31</v>
      </c>
      <c r="N128" s="420" t="s">
        <v>139</v>
      </c>
      <c r="O128" s="420">
        <v>1214837000</v>
      </c>
      <c r="P128" s="421">
        <v>42782</v>
      </c>
      <c r="Q128" s="420">
        <v>5.4000000000000003E-3</v>
      </c>
      <c r="R128" s="421">
        <v>43147</v>
      </c>
      <c r="S128" s="420">
        <v>393000</v>
      </c>
      <c r="T128" s="420">
        <v>2</v>
      </c>
      <c r="U128" s="420" t="s">
        <v>140</v>
      </c>
      <c r="V128" s="420">
        <v>1</v>
      </c>
      <c r="W128" s="420" t="s">
        <v>141</v>
      </c>
      <c r="X128" s="420">
        <v>1</v>
      </c>
      <c r="Y128" s="420" t="s">
        <v>164</v>
      </c>
      <c r="Z128" s="383"/>
      <c r="AA128" s="386">
        <f t="shared" ref="AA128:AA191" si="2">(S128*Q128%)</f>
        <v>21.222000000000001</v>
      </c>
    </row>
    <row r="129" spans="1:27" ht="15">
      <c r="A129" s="420">
        <v>599</v>
      </c>
      <c r="B129" s="420" t="s">
        <v>133</v>
      </c>
      <c r="C129" s="420">
        <v>28853</v>
      </c>
      <c r="D129" s="420" t="s">
        <v>143</v>
      </c>
      <c r="E129" s="420" t="s">
        <v>144</v>
      </c>
      <c r="F129" s="420" t="s">
        <v>145</v>
      </c>
      <c r="G129" s="420" t="s">
        <v>137</v>
      </c>
      <c r="H129" s="420">
        <v>61048000</v>
      </c>
      <c r="I129" s="420">
        <v>233</v>
      </c>
      <c r="J129" s="420" t="s">
        <v>138</v>
      </c>
      <c r="K129" s="420">
        <v>74</v>
      </c>
      <c r="L129" s="420">
        <v>37</v>
      </c>
      <c r="M129" s="420">
        <v>89</v>
      </c>
      <c r="N129" s="420" t="s">
        <v>146</v>
      </c>
      <c r="O129" s="420">
        <v>207658000</v>
      </c>
      <c r="P129" s="421">
        <v>42783</v>
      </c>
      <c r="Q129" s="420">
        <v>5.4000000000000003E-3</v>
      </c>
      <c r="R129" s="421">
        <v>43147</v>
      </c>
      <c r="S129" s="420">
        <v>3935000</v>
      </c>
      <c r="T129" s="420">
        <v>2</v>
      </c>
      <c r="U129" s="420" t="s">
        <v>140</v>
      </c>
      <c r="V129" s="420">
        <v>1</v>
      </c>
      <c r="W129" s="420" t="s">
        <v>141</v>
      </c>
      <c r="X129" s="420">
        <v>1</v>
      </c>
      <c r="Y129" s="420" t="s">
        <v>164</v>
      </c>
      <c r="Z129" s="383"/>
      <c r="AA129" s="386">
        <f t="shared" si="2"/>
        <v>212.49</v>
      </c>
    </row>
    <row r="130" spans="1:27" ht="15">
      <c r="A130" s="420">
        <v>188</v>
      </c>
      <c r="B130" s="420" t="s">
        <v>133</v>
      </c>
      <c r="C130" s="420">
        <v>32300</v>
      </c>
      <c r="D130" s="420" t="s">
        <v>181</v>
      </c>
      <c r="E130" s="420" t="s">
        <v>182</v>
      </c>
      <c r="F130" s="420" t="s">
        <v>183</v>
      </c>
      <c r="G130" s="420" t="s">
        <v>137</v>
      </c>
      <c r="H130" s="420">
        <v>62864000</v>
      </c>
      <c r="I130" s="420">
        <v>208</v>
      </c>
      <c r="J130" s="420" t="s">
        <v>138</v>
      </c>
      <c r="K130" s="420">
        <v>107</v>
      </c>
      <c r="L130" s="420">
        <v>54</v>
      </c>
      <c r="M130" s="420">
        <v>33</v>
      </c>
      <c r="N130" s="420" t="s">
        <v>184</v>
      </c>
      <c r="O130" s="420">
        <v>978475000</v>
      </c>
      <c r="P130" s="421">
        <v>42787</v>
      </c>
      <c r="Q130" s="420">
        <v>5.4000000000000003E-3</v>
      </c>
      <c r="R130" s="421">
        <v>43152</v>
      </c>
      <c r="S130" s="420">
        <v>250000</v>
      </c>
      <c r="T130" s="420">
        <v>2</v>
      </c>
      <c r="U130" s="420" t="s">
        <v>140</v>
      </c>
      <c r="V130" s="420">
        <v>1</v>
      </c>
      <c r="W130" s="420" t="s">
        <v>141</v>
      </c>
      <c r="X130" s="420">
        <v>1</v>
      </c>
      <c r="Y130" s="420" t="s">
        <v>164</v>
      </c>
      <c r="Z130" s="383"/>
      <c r="AA130" s="386">
        <f t="shared" si="2"/>
        <v>13.500000000000002</v>
      </c>
    </row>
    <row r="131" spans="1:27" ht="15">
      <c r="A131" s="420">
        <v>409</v>
      </c>
      <c r="B131" s="420" t="s">
        <v>133</v>
      </c>
      <c r="C131" s="420">
        <v>7054</v>
      </c>
      <c r="D131" s="420" t="s">
        <v>134</v>
      </c>
      <c r="E131" s="420" t="s">
        <v>135</v>
      </c>
      <c r="F131" s="420" t="s">
        <v>136</v>
      </c>
      <c r="G131" s="420" t="s">
        <v>137</v>
      </c>
      <c r="H131" s="420">
        <v>62016000</v>
      </c>
      <c r="I131" s="420">
        <v>203</v>
      </c>
      <c r="J131" s="420" t="s">
        <v>138</v>
      </c>
      <c r="K131" s="420">
        <v>97</v>
      </c>
      <c r="L131" s="420">
        <v>49</v>
      </c>
      <c r="M131" s="420">
        <v>31</v>
      </c>
      <c r="N131" s="420" t="s">
        <v>139</v>
      </c>
      <c r="O131" s="420">
        <v>1214837000</v>
      </c>
      <c r="P131" s="421">
        <v>42789</v>
      </c>
      <c r="Q131" s="420">
        <v>5.4000000000000003E-3</v>
      </c>
      <c r="R131" s="421">
        <v>43154</v>
      </c>
      <c r="S131" s="420">
        <v>60000</v>
      </c>
      <c r="T131" s="420">
        <v>2</v>
      </c>
      <c r="U131" s="420" t="s">
        <v>140</v>
      </c>
      <c r="V131" s="420">
        <v>1</v>
      </c>
      <c r="W131" s="420" t="s">
        <v>141</v>
      </c>
      <c r="X131" s="420">
        <v>1</v>
      </c>
      <c r="Y131" s="420" t="s">
        <v>164</v>
      </c>
      <c r="Z131" s="383"/>
      <c r="AA131" s="386">
        <f t="shared" si="2"/>
        <v>3.24</v>
      </c>
    </row>
    <row r="132" spans="1:27" ht="15">
      <c r="A132" s="420">
        <v>410</v>
      </c>
      <c r="B132" s="420" t="s">
        <v>133</v>
      </c>
      <c r="C132" s="420">
        <v>7054</v>
      </c>
      <c r="D132" s="420" t="s">
        <v>134</v>
      </c>
      <c r="E132" s="420" t="s">
        <v>135</v>
      </c>
      <c r="F132" s="420" t="s">
        <v>136</v>
      </c>
      <c r="G132" s="420" t="s">
        <v>137</v>
      </c>
      <c r="H132" s="420">
        <v>62016000</v>
      </c>
      <c r="I132" s="420">
        <v>203</v>
      </c>
      <c r="J132" s="420" t="s">
        <v>138</v>
      </c>
      <c r="K132" s="420">
        <v>97</v>
      </c>
      <c r="L132" s="420">
        <v>49</v>
      </c>
      <c r="M132" s="420">
        <v>31</v>
      </c>
      <c r="N132" s="420" t="s">
        <v>139</v>
      </c>
      <c r="O132" s="420">
        <v>1214837000</v>
      </c>
      <c r="P132" s="421">
        <v>42797</v>
      </c>
      <c r="Q132" s="420">
        <v>5.4999999999999997E-3</v>
      </c>
      <c r="R132" s="421">
        <v>43161</v>
      </c>
      <c r="S132" s="420">
        <v>650000</v>
      </c>
      <c r="T132" s="420">
        <v>2</v>
      </c>
      <c r="U132" s="420" t="s">
        <v>140</v>
      </c>
      <c r="V132" s="420">
        <v>1</v>
      </c>
      <c r="W132" s="420" t="s">
        <v>141</v>
      </c>
      <c r="X132" s="420">
        <v>1</v>
      </c>
      <c r="Y132" s="420" t="s">
        <v>164</v>
      </c>
      <c r="Z132" s="383"/>
      <c r="AA132" s="386">
        <f t="shared" si="2"/>
        <v>35.75</v>
      </c>
    </row>
    <row r="133" spans="1:27" ht="15">
      <c r="A133" s="420">
        <v>548</v>
      </c>
      <c r="B133" s="420" t="s">
        <v>133</v>
      </c>
      <c r="C133" s="420">
        <v>31303</v>
      </c>
      <c r="D133" s="420" t="s">
        <v>160</v>
      </c>
      <c r="E133" s="420" t="s">
        <v>161</v>
      </c>
      <c r="F133" s="420" t="s">
        <v>162</v>
      </c>
      <c r="G133" s="420" t="s">
        <v>137</v>
      </c>
      <c r="H133" s="420">
        <v>62930000</v>
      </c>
      <c r="I133" s="420">
        <v>241</v>
      </c>
      <c r="J133" s="420" t="s">
        <v>138</v>
      </c>
      <c r="K133" s="420">
        <v>117</v>
      </c>
      <c r="L133" s="420">
        <v>59</v>
      </c>
      <c r="M133" s="420">
        <v>100</v>
      </c>
      <c r="N133" s="420" t="s">
        <v>163</v>
      </c>
      <c r="O133" s="420">
        <v>1264856000</v>
      </c>
      <c r="P133" s="421">
        <v>42797</v>
      </c>
      <c r="Q133" s="420">
        <v>5.4999999999999997E-3</v>
      </c>
      <c r="R133" s="421">
        <v>43161</v>
      </c>
      <c r="S133" s="420">
        <v>1740000</v>
      </c>
      <c r="T133" s="420">
        <v>2</v>
      </c>
      <c r="U133" s="420" t="s">
        <v>140</v>
      </c>
      <c r="V133" s="420">
        <v>1</v>
      </c>
      <c r="W133" s="420" t="s">
        <v>141</v>
      </c>
      <c r="X133" s="420">
        <v>1</v>
      </c>
      <c r="Y133" s="420" t="s">
        <v>164</v>
      </c>
      <c r="Z133" s="383"/>
      <c r="AA133" s="386">
        <f t="shared" si="2"/>
        <v>95.699999999999989</v>
      </c>
    </row>
    <row r="134" spans="1:27" ht="15">
      <c r="A134" s="420">
        <v>411</v>
      </c>
      <c r="B134" s="420" t="s">
        <v>133</v>
      </c>
      <c r="C134" s="420">
        <v>7054</v>
      </c>
      <c r="D134" s="420" t="s">
        <v>134</v>
      </c>
      <c r="E134" s="420" t="s">
        <v>135</v>
      </c>
      <c r="F134" s="420" t="s">
        <v>136</v>
      </c>
      <c r="G134" s="420" t="s">
        <v>137</v>
      </c>
      <c r="H134" s="420">
        <v>62016000</v>
      </c>
      <c r="I134" s="420">
        <v>203</v>
      </c>
      <c r="J134" s="420" t="s">
        <v>138</v>
      </c>
      <c r="K134" s="420">
        <v>97</v>
      </c>
      <c r="L134" s="420">
        <v>49</v>
      </c>
      <c r="M134" s="420">
        <v>31</v>
      </c>
      <c r="N134" s="420" t="s">
        <v>139</v>
      </c>
      <c r="O134" s="420">
        <v>1214837000</v>
      </c>
      <c r="P134" s="421">
        <v>42800</v>
      </c>
      <c r="Q134" s="420">
        <v>8.3000000000000001E-3</v>
      </c>
      <c r="R134" s="421">
        <v>43896</v>
      </c>
      <c r="S134" s="420">
        <v>92600</v>
      </c>
      <c r="T134" s="420">
        <v>2</v>
      </c>
      <c r="U134" s="420" t="s">
        <v>140</v>
      </c>
      <c r="V134" s="420">
        <v>1</v>
      </c>
      <c r="W134" s="420" t="s">
        <v>141</v>
      </c>
      <c r="X134" s="420">
        <v>430</v>
      </c>
      <c r="Y134" s="420" t="s">
        <v>142</v>
      </c>
      <c r="Z134" s="383"/>
      <c r="AA134" s="386">
        <f t="shared" si="2"/>
        <v>7.6857999999999995</v>
      </c>
    </row>
    <row r="135" spans="1:27" ht="15">
      <c r="A135" s="420">
        <v>82</v>
      </c>
      <c r="B135" s="420" t="s">
        <v>133</v>
      </c>
      <c r="C135" s="420">
        <v>21603</v>
      </c>
      <c r="D135" s="420" t="s">
        <v>195</v>
      </c>
      <c r="E135" s="420" t="s">
        <v>196</v>
      </c>
      <c r="F135" s="420" t="s">
        <v>197</v>
      </c>
      <c r="G135" s="420" t="s">
        <v>137</v>
      </c>
      <c r="H135" s="420">
        <v>61039000</v>
      </c>
      <c r="I135" s="420">
        <v>217</v>
      </c>
      <c r="J135" s="420" t="s">
        <v>138</v>
      </c>
      <c r="K135" s="420">
        <v>74</v>
      </c>
      <c r="L135" s="420">
        <v>37</v>
      </c>
      <c r="M135" s="420">
        <v>89</v>
      </c>
      <c r="N135" s="420" t="s">
        <v>146</v>
      </c>
      <c r="O135" s="420">
        <v>204539000</v>
      </c>
      <c r="P135" s="421">
        <v>42801</v>
      </c>
      <c r="Q135" s="420">
        <v>5.4999999999999997E-3</v>
      </c>
      <c r="R135" s="421">
        <v>43166</v>
      </c>
      <c r="S135" s="420">
        <v>50000</v>
      </c>
      <c r="T135" s="420">
        <v>2</v>
      </c>
      <c r="U135" s="420" t="s">
        <v>140</v>
      </c>
      <c r="V135" s="420">
        <v>1</v>
      </c>
      <c r="W135" s="420" t="s">
        <v>141</v>
      </c>
      <c r="X135" s="420">
        <v>1</v>
      </c>
      <c r="Y135" s="420" t="s">
        <v>164</v>
      </c>
      <c r="Z135" s="383"/>
      <c r="AA135" s="386">
        <f t="shared" si="2"/>
        <v>2.7499999999999996</v>
      </c>
    </row>
    <row r="136" spans="1:27" ht="15">
      <c r="A136" s="420">
        <v>189</v>
      </c>
      <c r="B136" s="420" t="s">
        <v>133</v>
      </c>
      <c r="C136" s="420">
        <v>32300</v>
      </c>
      <c r="D136" s="420" t="s">
        <v>181</v>
      </c>
      <c r="E136" s="420" t="s">
        <v>182</v>
      </c>
      <c r="F136" s="420" t="s">
        <v>183</v>
      </c>
      <c r="G136" s="420" t="s">
        <v>137</v>
      </c>
      <c r="H136" s="420">
        <v>62864000</v>
      </c>
      <c r="I136" s="420">
        <v>208</v>
      </c>
      <c r="J136" s="420" t="s">
        <v>138</v>
      </c>
      <c r="K136" s="420">
        <v>107</v>
      </c>
      <c r="L136" s="420">
        <v>54</v>
      </c>
      <c r="M136" s="420">
        <v>33</v>
      </c>
      <c r="N136" s="420" t="s">
        <v>184</v>
      </c>
      <c r="O136" s="420">
        <v>978475000</v>
      </c>
      <c r="P136" s="421">
        <v>42801</v>
      </c>
      <c r="Q136" s="420">
        <v>5.4999999999999997E-3</v>
      </c>
      <c r="R136" s="421">
        <v>43166</v>
      </c>
      <c r="S136" s="420">
        <v>520000</v>
      </c>
      <c r="T136" s="420">
        <v>2</v>
      </c>
      <c r="U136" s="420" t="s">
        <v>140</v>
      </c>
      <c r="V136" s="420">
        <v>1</v>
      </c>
      <c r="W136" s="420" t="s">
        <v>141</v>
      </c>
      <c r="X136" s="420">
        <v>1</v>
      </c>
      <c r="Y136" s="420" t="s">
        <v>164</v>
      </c>
      <c r="Z136" s="383"/>
      <c r="AA136" s="386">
        <f t="shared" si="2"/>
        <v>28.599999999999998</v>
      </c>
    </row>
    <row r="137" spans="1:27" ht="15">
      <c r="A137" s="420">
        <v>600</v>
      </c>
      <c r="B137" s="420" t="s">
        <v>133</v>
      </c>
      <c r="C137" s="420">
        <v>28853</v>
      </c>
      <c r="D137" s="420" t="s">
        <v>143</v>
      </c>
      <c r="E137" s="420" t="s">
        <v>144</v>
      </c>
      <c r="F137" s="420" t="s">
        <v>145</v>
      </c>
      <c r="G137" s="420" t="s">
        <v>137</v>
      </c>
      <c r="H137" s="420">
        <v>61048000</v>
      </c>
      <c r="I137" s="420">
        <v>233</v>
      </c>
      <c r="J137" s="420" t="s">
        <v>138</v>
      </c>
      <c r="K137" s="420">
        <v>74</v>
      </c>
      <c r="L137" s="420">
        <v>37</v>
      </c>
      <c r="M137" s="420">
        <v>89</v>
      </c>
      <c r="N137" s="420" t="s">
        <v>146</v>
      </c>
      <c r="O137" s="420">
        <v>207658000</v>
      </c>
      <c r="P137" s="421">
        <v>42801</v>
      </c>
      <c r="Q137" s="420">
        <v>8.3000000000000001E-3</v>
      </c>
      <c r="R137" s="421">
        <v>43896</v>
      </c>
      <c r="S137" s="420">
        <v>15200</v>
      </c>
      <c r="T137" s="420">
        <v>2</v>
      </c>
      <c r="U137" s="420" t="s">
        <v>140</v>
      </c>
      <c r="V137" s="420">
        <v>1</v>
      </c>
      <c r="W137" s="420" t="s">
        <v>141</v>
      </c>
      <c r="X137" s="420">
        <v>430</v>
      </c>
      <c r="Y137" s="420" t="s">
        <v>142</v>
      </c>
      <c r="Z137" s="383"/>
      <c r="AA137" s="386">
        <f t="shared" si="2"/>
        <v>1.2616000000000001</v>
      </c>
    </row>
    <row r="138" spans="1:27" ht="15">
      <c r="A138" s="420">
        <v>601</v>
      </c>
      <c r="B138" s="420" t="s">
        <v>133</v>
      </c>
      <c r="C138" s="420">
        <v>28853</v>
      </c>
      <c r="D138" s="420" t="s">
        <v>143</v>
      </c>
      <c r="E138" s="420" t="s">
        <v>144</v>
      </c>
      <c r="F138" s="420" t="s">
        <v>145</v>
      </c>
      <c r="G138" s="420" t="s">
        <v>137</v>
      </c>
      <c r="H138" s="420">
        <v>61048000</v>
      </c>
      <c r="I138" s="420">
        <v>233</v>
      </c>
      <c r="J138" s="420" t="s">
        <v>138</v>
      </c>
      <c r="K138" s="420">
        <v>74</v>
      </c>
      <c r="L138" s="420">
        <v>37</v>
      </c>
      <c r="M138" s="420">
        <v>89</v>
      </c>
      <c r="N138" s="420" t="s">
        <v>146</v>
      </c>
      <c r="O138" s="420">
        <v>207658000</v>
      </c>
      <c r="P138" s="421">
        <v>42801</v>
      </c>
      <c r="Q138" s="420">
        <v>8.3000000000000001E-3</v>
      </c>
      <c r="R138" s="421">
        <v>43896</v>
      </c>
      <c r="S138" s="420">
        <v>20000</v>
      </c>
      <c r="T138" s="420">
        <v>2</v>
      </c>
      <c r="U138" s="420" t="s">
        <v>140</v>
      </c>
      <c r="V138" s="420">
        <v>1</v>
      </c>
      <c r="W138" s="420" t="s">
        <v>141</v>
      </c>
      <c r="X138" s="420">
        <v>430</v>
      </c>
      <c r="Y138" s="420" t="s">
        <v>142</v>
      </c>
      <c r="Z138" s="383"/>
      <c r="AA138" s="386">
        <f t="shared" si="2"/>
        <v>1.66</v>
      </c>
    </row>
    <row r="139" spans="1:27" ht="15">
      <c r="A139" s="420">
        <v>549</v>
      </c>
      <c r="B139" s="420" t="s">
        <v>133</v>
      </c>
      <c r="C139" s="420">
        <v>31303</v>
      </c>
      <c r="D139" s="420" t="s">
        <v>160</v>
      </c>
      <c r="E139" s="420" t="s">
        <v>161</v>
      </c>
      <c r="F139" s="420" t="s">
        <v>162</v>
      </c>
      <c r="G139" s="420" t="s">
        <v>137</v>
      </c>
      <c r="H139" s="420">
        <v>62930000</v>
      </c>
      <c r="I139" s="420">
        <v>241</v>
      </c>
      <c r="J139" s="420" t="s">
        <v>138</v>
      </c>
      <c r="K139" s="420">
        <v>117</v>
      </c>
      <c r="L139" s="420">
        <v>59</v>
      </c>
      <c r="M139" s="420">
        <v>100</v>
      </c>
      <c r="N139" s="420" t="s">
        <v>163</v>
      </c>
      <c r="O139" s="420">
        <v>1264856000</v>
      </c>
      <c r="P139" s="421">
        <v>42803</v>
      </c>
      <c r="Q139" s="420">
        <v>5.4999999999999997E-3</v>
      </c>
      <c r="R139" s="421">
        <v>43167</v>
      </c>
      <c r="S139" s="420">
        <v>8365000</v>
      </c>
      <c r="T139" s="420">
        <v>2</v>
      </c>
      <c r="U139" s="420" t="s">
        <v>140</v>
      </c>
      <c r="V139" s="420">
        <v>1</v>
      </c>
      <c r="W139" s="420" t="s">
        <v>141</v>
      </c>
      <c r="X139" s="420">
        <v>1</v>
      </c>
      <c r="Y139" s="420" t="s">
        <v>164</v>
      </c>
      <c r="Z139" s="383"/>
      <c r="AA139" s="386">
        <f t="shared" si="2"/>
        <v>460.07499999999993</v>
      </c>
    </row>
    <row r="140" spans="1:27" ht="15">
      <c r="A140" s="420">
        <v>259</v>
      </c>
      <c r="B140" s="420" t="s">
        <v>133</v>
      </c>
      <c r="C140" s="420">
        <v>23250</v>
      </c>
      <c r="D140" s="420" t="s">
        <v>176</v>
      </c>
      <c r="E140" s="420" t="s">
        <v>177</v>
      </c>
      <c r="F140" s="420" t="s">
        <v>178</v>
      </c>
      <c r="G140" s="420" t="s">
        <v>137</v>
      </c>
      <c r="H140" s="420">
        <v>62246000</v>
      </c>
      <c r="I140" s="420">
        <v>238</v>
      </c>
      <c r="J140" s="420" t="s">
        <v>138</v>
      </c>
      <c r="K140" s="420">
        <v>109</v>
      </c>
      <c r="L140" s="420">
        <v>55</v>
      </c>
      <c r="M140" s="420">
        <v>3</v>
      </c>
      <c r="N140" s="420" t="s">
        <v>179</v>
      </c>
      <c r="O140" s="420">
        <v>229828000</v>
      </c>
      <c r="P140" s="421">
        <v>42804</v>
      </c>
      <c r="Q140" s="420">
        <v>5.4999999999999997E-3</v>
      </c>
      <c r="R140" s="421">
        <v>43168</v>
      </c>
      <c r="S140" s="420">
        <v>6872500</v>
      </c>
      <c r="T140" s="420">
        <v>2</v>
      </c>
      <c r="U140" s="420" t="s">
        <v>140</v>
      </c>
      <c r="V140" s="420">
        <v>1</v>
      </c>
      <c r="W140" s="420" t="s">
        <v>141</v>
      </c>
      <c r="X140" s="420">
        <v>1</v>
      </c>
      <c r="Y140" s="420" t="s">
        <v>164</v>
      </c>
      <c r="Z140" s="383"/>
      <c r="AA140" s="386">
        <f t="shared" si="2"/>
        <v>377.98749999999995</v>
      </c>
    </row>
    <row r="141" spans="1:27" ht="15">
      <c r="A141" s="420">
        <v>260</v>
      </c>
      <c r="B141" s="420" t="s">
        <v>133</v>
      </c>
      <c r="C141" s="420">
        <v>23250</v>
      </c>
      <c r="D141" s="420" t="s">
        <v>176</v>
      </c>
      <c r="E141" s="420" t="s">
        <v>177</v>
      </c>
      <c r="F141" s="420" t="s">
        <v>178</v>
      </c>
      <c r="G141" s="420" t="s">
        <v>137</v>
      </c>
      <c r="H141" s="420">
        <v>62246000</v>
      </c>
      <c r="I141" s="420">
        <v>238</v>
      </c>
      <c r="J141" s="420" t="s">
        <v>138</v>
      </c>
      <c r="K141" s="420">
        <v>109</v>
      </c>
      <c r="L141" s="420">
        <v>55</v>
      </c>
      <c r="M141" s="420">
        <v>3</v>
      </c>
      <c r="N141" s="420" t="s">
        <v>179</v>
      </c>
      <c r="O141" s="420">
        <v>229828000</v>
      </c>
      <c r="P141" s="421">
        <v>42804</v>
      </c>
      <c r="Q141" s="420">
        <v>5.4999999999999997E-3</v>
      </c>
      <c r="R141" s="421">
        <v>43168</v>
      </c>
      <c r="S141" s="420">
        <v>100000</v>
      </c>
      <c r="T141" s="420">
        <v>2</v>
      </c>
      <c r="U141" s="420" t="s">
        <v>140</v>
      </c>
      <c r="V141" s="420">
        <v>1</v>
      </c>
      <c r="W141" s="420" t="s">
        <v>141</v>
      </c>
      <c r="X141" s="420">
        <v>387</v>
      </c>
      <c r="Y141" s="420" t="s">
        <v>180</v>
      </c>
      <c r="Z141" s="383"/>
      <c r="AA141" s="386">
        <f t="shared" si="2"/>
        <v>5.4999999999999991</v>
      </c>
    </row>
    <row r="142" spans="1:27" ht="15">
      <c r="A142" s="420">
        <v>412</v>
      </c>
      <c r="B142" s="420" t="s">
        <v>133</v>
      </c>
      <c r="C142" s="420">
        <v>7054</v>
      </c>
      <c r="D142" s="420" t="s">
        <v>134</v>
      </c>
      <c r="E142" s="420" t="s">
        <v>135</v>
      </c>
      <c r="F142" s="420" t="s">
        <v>136</v>
      </c>
      <c r="G142" s="420" t="s">
        <v>137</v>
      </c>
      <c r="H142" s="420">
        <v>62016000</v>
      </c>
      <c r="I142" s="420">
        <v>203</v>
      </c>
      <c r="J142" s="420" t="s">
        <v>138</v>
      </c>
      <c r="K142" s="420">
        <v>97</v>
      </c>
      <c r="L142" s="420">
        <v>49</v>
      </c>
      <c r="M142" s="420">
        <v>31</v>
      </c>
      <c r="N142" s="420" t="s">
        <v>139</v>
      </c>
      <c r="O142" s="420">
        <v>1214837000</v>
      </c>
      <c r="P142" s="421">
        <v>42804</v>
      </c>
      <c r="Q142" s="420">
        <v>5.4999999999999997E-3</v>
      </c>
      <c r="R142" s="421">
        <v>43168</v>
      </c>
      <c r="S142" s="420">
        <v>820000</v>
      </c>
      <c r="T142" s="420">
        <v>2</v>
      </c>
      <c r="U142" s="420" t="s">
        <v>140</v>
      </c>
      <c r="V142" s="420">
        <v>1</v>
      </c>
      <c r="W142" s="420" t="s">
        <v>141</v>
      </c>
      <c r="X142" s="420">
        <v>1</v>
      </c>
      <c r="Y142" s="420" t="s">
        <v>164</v>
      </c>
      <c r="Z142" s="383"/>
      <c r="AA142" s="386">
        <f t="shared" si="2"/>
        <v>45.099999999999994</v>
      </c>
    </row>
    <row r="143" spans="1:27" ht="15">
      <c r="A143" s="420">
        <v>413</v>
      </c>
      <c r="B143" s="420" t="s">
        <v>133</v>
      </c>
      <c r="C143" s="420">
        <v>7054</v>
      </c>
      <c r="D143" s="420" t="s">
        <v>134</v>
      </c>
      <c r="E143" s="420" t="s">
        <v>135</v>
      </c>
      <c r="F143" s="420" t="s">
        <v>136</v>
      </c>
      <c r="G143" s="420" t="s">
        <v>137</v>
      </c>
      <c r="H143" s="420">
        <v>62016000</v>
      </c>
      <c r="I143" s="420">
        <v>203</v>
      </c>
      <c r="J143" s="420" t="s">
        <v>138</v>
      </c>
      <c r="K143" s="420">
        <v>97</v>
      </c>
      <c r="L143" s="420">
        <v>49</v>
      </c>
      <c r="M143" s="420">
        <v>31</v>
      </c>
      <c r="N143" s="420" t="s">
        <v>139</v>
      </c>
      <c r="O143" s="420">
        <v>1214837000</v>
      </c>
      <c r="P143" s="421">
        <v>42804</v>
      </c>
      <c r="Q143" s="420">
        <v>5.4999999999999997E-3</v>
      </c>
      <c r="R143" s="421">
        <v>43168</v>
      </c>
      <c r="S143" s="420">
        <v>1090000</v>
      </c>
      <c r="T143" s="420">
        <v>2</v>
      </c>
      <c r="U143" s="420" t="s">
        <v>140</v>
      </c>
      <c r="V143" s="420">
        <v>1</v>
      </c>
      <c r="W143" s="420" t="s">
        <v>141</v>
      </c>
      <c r="X143" s="420">
        <v>1</v>
      </c>
      <c r="Y143" s="420" t="s">
        <v>164</v>
      </c>
      <c r="Z143" s="383"/>
      <c r="AA143" s="386">
        <f t="shared" si="2"/>
        <v>59.949999999999996</v>
      </c>
    </row>
    <row r="144" spans="1:27" ht="15">
      <c r="A144" s="420">
        <v>190</v>
      </c>
      <c r="B144" s="420" t="s">
        <v>133</v>
      </c>
      <c r="C144" s="420">
        <v>32300</v>
      </c>
      <c r="D144" s="420" t="s">
        <v>181</v>
      </c>
      <c r="E144" s="420" t="s">
        <v>182</v>
      </c>
      <c r="F144" s="420" t="s">
        <v>183</v>
      </c>
      <c r="G144" s="420" t="s">
        <v>137</v>
      </c>
      <c r="H144" s="420">
        <v>62864000</v>
      </c>
      <c r="I144" s="420">
        <v>208</v>
      </c>
      <c r="J144" s="420" t="s">
        <v>138</v>
      </c>
      <c r="K144" s="420">
        <v>107</v>
      </c>
      <c r="L144" s="420">
        <v>54</v>
      </c>
      <c r="M144" s="420">
        <v>33</v>
      </c>
      <c r="N144" s="420" t="s">
        <v>184</v>
      </c>
      <c r="O144" s="420">
        <v>978475000</v>
      </c>
      <c r="P144" s="421">
        <v>42807</v>
      </c>
      <c r="Q144" s="420">
        <v>5.4999999999999997E-3</v>
      </c>
      <c r="R144" s="421">
        <v>43172</v>
      </c>
      <c r="S144" s="420">
        <v>275000</v>
      </c>
      <c r="T144" s="420">
        <v>2</v>
      </c>
      <c r="U144" s="420" t="s">
        <v>140</v>
      </c>
      <c r="V144" s="420">
        <v>1</v>
      </c>
      <c r="W144" s="420" t="s">
        <v>141</v>
      </c>
      <c r="X144" s="420">
        <v>1</v>
      </c>
      <c r="Y144" s="420" t="s">
        <v>164</v>
      </c>
      <c r="Z144" s="383"/>
      <c r="AA144" s="386">
        <f t="shared" si="2"/>
        <v>15.124999999999998</v>
      </c>
    </row>
    <row r="145" spans="1:27" ht="15">
      <c r="A145" s="420">
        <v>617</v>
      </c>
      <c r="B145" s="420" t="s">
        <v>133</v>
      </c>
      <c r="C145" s="420">
        <v>15200</v>
      </c>
      <c r="D145" s="420" t="s">
        <v>173</v>
      </c>
      <c r="E145" s="420" t="s">
        <v>174</v>
      </c>
      <c r="F145" s="420" t="s">
        <v>175</v>
      </c>
      <c r="G145" s="420" t="s">
        <v>137</v>
      </c>
      <c r="H145" s="420">
        <v>61019000</v>
      </c>
      <c r="I145" s="420">
        <v>220</v>
      </c>
      <c r="J145" s="420" t="s">
        <v>138</v>
      </c>
      <c r="K145" s="420">
        <v>74</v>
      </c>
      <c r="L145" s="420">
        <v>37</v>
      </c>
      <c r="M145" s="420">
        <v>89</v>
      </c>
      <c r="N145" s="420" t="s">
        <v>146</v>
      </c>
      <c r="O145" s="420">
        <v>130288000</v>
      </c>
      <c r="P145" s="421">
        <v>42807</v>
      </c>
      <c r="Q145" s="420">
        <v>5.4999999999999997E-3</v>
      </c>
      <c r="R145" s="421">
        <v>43172</v>
      </c>
      <c r="S145" s="420">
        <v>822650</v>
      </c>
      <c r="T145" s="420">
        <v>2</v>
      </c>
      <c r="U145" s="420" t="s">
        <v>140</v>
      </c>
      <c r="V145" s="420">
        <v>1</v>
      </c>
      <c r="W145" s="420" t="s">
        <v>141</v>
      </c>
      <c r="X145" s="420">
        <v>1</v>
      </c>
      <c r="Y145" s="420" t="s">
        <v>164</v>
      </c>
      <c r="Z145" s="383"/>
      <c r="AA145" s="386">
        <f t="shared" si="2"/>
        <v>45.245749999999994</v>
      </c>
    </row>
    <row r="146" spans="1:27" ht="15">
      <c r="A146" s="420">
        <v>83</v>
      </c>
      <c r="B146" s="420" t="s">
        <v>133</v>
      </c>
      <c r="C146" s="420">
        <v>21603</v>
      </c>
      <c r="D146" s="420" t="s">
        <v>195</v>
      </c>
      <c r="E146" s="420" t="s">
        <v>196</v>
      </c>
      <c r="F146" s="420" t="s">
        <v>197</v>
      </c>
      <c r="G146" s="420" t="s">
        <v>137</v>
      </c>
      <c r="H146" s="420">
        <v>61039000</v>
      </c>
      <c r="I146" s="420">
        <v>217</v>
      </c>
      <c r="J146" s="420" t="s">
        <v>138</v>
      </c>
      <c r="K146" s="420">
        <v>74</v>
      </c>
      <c r="L146" s="420">
        <v>37</v>
      </c>
      <c r="M146" s="420">
        <v>89</v>
      </c>
      <c r="N146" s="420" t="s">
        <v>146</v>
      </c>
      <c r="O146" s="420">
        <v>204539000</v>
      </c>
      <c r="P146" s="421">
        <v>42808</v>
      </c>
      <c r="Q146" s="420">
        <v>5.4999999999999997E-3</v>
      </c>
      <c r="R146" s="421">
        <v>43173</v>
      </c>
      <c r="S146" s="420">
        <v>50000</v>
      </c>
      <c r="T146" s="420">
        <v>2</v>
      </c>
      <c r="U146" s="420" t="s">
        <v>140</v>
      </c>
      <c r="V146" s="420">
        <v>1</v>
      </c>
      <c r="W146" s="420" t="s">
        <v>141</v>
      </c>
      <c r="X146" s="420">
        <v>1</v>
      </c>
      <c r="Y146" s="420" t="s">
        <v>164</v>
      </c>
      <c r="Z146" s="383"/>
      <c r="AA146" s="386">
        <f t="shared" si="2"/>
        <v>2.7499999999999996</v>
      </c>
    </row>
    <row r="147" spans="1:27" ht="15">
      <c r="A147" s="420">
        <v>191</v>
      </c>
      <c r="B147" s="420" t="s">
        <v>133</v>
      </c>
      <c r="C147" s="420">
        <v>32300</v>
      </c>
      <c r="D147" s="420" t="s">
        <v>181</v>
      </c>
      <c r="E147" s="420" t="s">
        <v>182</v>
      </c>
      <c r="F147" s="420" t="s">
        <v>183</v>
      </c>
      <c r="G147" s="420" t="s">
        <v>137</v>
      </c>
      <c r="H147" s="420">
        <v>62864000</v>
      </c>
      <c r="I147" s="420">
        <v>208</v>
      </c>
      <c r="J147" s="420" t="s">
        <v>138</v>
      </c>
      <c r="K147" s="420">
        <v>107</v>
      </c>
      <c r="L147" s="420">
        <v>54</v>
      </c>
      <c r="M147" s="420">
        <v>33</v>
      </c>
      <c r="N147" s="420" t="s">
        <v>184</v>
      </c>
      <c r="O147" s="420">
        <v>978475000</v>
      </c>
      <c r="P147" s="421">
        <v>42808</v>
      </c>
      <c r="Q147" s="420">
        <v>5.4999999999999997E-3</v>
      </c>
      <c r="R147" s="421">
        <v>43173</v>
      </c>
      <c r="S147" s="420">
        <v>200000</v>
      </c>
      <c r="T147" s="420">
        <v>2</v>
      </c>
      <c r="U147" s="420" t="s">
        <v>140</v>
      </c>
      <c r="V147" s="420">
        <v>1</v>
      </c>
      <c r="W147" s="420" t="s">
        <v>141</v>
      </c>
      <c r="X147" s="420">
        <v>1</v>
      </c>
      <c r="Y147" s="420" t="s">
        <v>164</v>
      </c>
      <c r="Z147" s="383"/>
      <c r="AA147" s="386">
        <f t="shared" si="2"/>
        <v>10.999999999999998</v>
      </c>
    </row>
    <row r="148" spans="1:27" ht="15">
      <c r="A148" s="420">
        <v>697</v>
      </c>
      <c r="B148" s="420" t="s">
        <v>133</v>
      </c>
      <c r="C148" s="420">
        <v>25357</v>
      </c>
      <c r="D148" s="420" t="s">
        <v>147</v>
      </c>
      <c r="E148" s="420" t="s">
        <v>148</v>
      </c>
      <c r="F148" s="420" t="s">
        <v>149</v>
      </c>
      <c r="G148" s="420" t="s">
        <v>137</v>
      </c>
      <c r="H148" s="420">
        <v>61043000</v>
      </c>
      <c r="I148" s="420">
        <v>112</v>
      </c>
      <c r="J148" s="420" t="s">
        <v>138</v>
      </c>
      <c r="K148" s="420">
        <v>70</v>
      </c>
      <c r="L148" s="420">
        <v>35</v>
      </c>
      <c r="M148" s="420">
        <v>71</v>
      </c>
      <c r="N148" s="420" t="s">
        <v>150</v>
      </c>
      <c r="O148" s="420">
        <v>162221000</v>
      </c>
      <c r="P148" s="421">
        <v>42808</v>
      </c>
      <c r="Q148" s="420">
        <v>5.4000000000000003E-3</v>
      </c>
      <c r="R148" s="421">
        <v>43153</v>
      </c>
      <c r="S148" s="420">
        <v>1000000</v>
      </c>
      <c r="T148" s="420">
        <v>2</v>
      </c>
      <c r="U148" s="420" t="s">
        <v>140</v>
      </c>
      <c r="V148" s="420">
        <v>1</v>
      </c>
      <c r="W148" s="420" t="s">
        <v>141</v>
      </c>
      <c r="X148" s="420">
        <v>1</v>
      </c>
      <c r="Y148" s="420" t="s">
        <v>164</v>
      </c>
      <c r="Z148" s="383"/>
      <c r="AA148" s="386">
        <f t="shared" si="2"/>
        <v>54.000000000000007</v>
      </c>
    </row>
    <row r="149" spans="1:27" ht="15">
      <c r="A149" s="420">
        <v>414</v>
      </c>
      <c r="B149" s="420" t="s">
        <v>133</v>
      </c>
      <c r="C149" s="420">
        <v>7054</v>
      </c>
      <c r="D149" s="420" t="s">
        <v>134</v>
      </c>
      <c r="E149" s="420" t="s">
        <v>135</v>
      </c>
      <c r="F149" s="420" t="s">
        <v>136</v>
      </c>
      <c r="G149" s="420" t="s">
        <v>137</v>
      </c>
      <c r="H149" s="420">
        <v>62016000</v>
      </c>
      <c r="I149" s="420">
        <v>203</v>
      </c>
      <c r="J149" s="420" t="s">
        <v>138</v>
      </c>
      <c r="K149" s="420">
        <v>97</v>
      </c>
      <c r="L149" s="420">
        <v>49</v>
      </c>
      <c r="M149" s="420">
        <v>31</v>
      </c>
      <c r="N149" s="420" t="s">
        <v>139</v>
      </c>
      <c r="O149" s="420">
        <v>1214837000</v>
      </c>
      <c r="P149" s="421">
        <v>42809</v>
      </c>
      <c r="Q149" s="420">
        <v>5.4999999999999997E-3</v>
      </c>
      <c r="R149" s="421">
        <v>43174</v>
      </c>
      <c r="S149" s="420">
        <v>127500</v>
      </c>
      <c r="T149" s="420">
        <v>2</v>
      </c>
      <c r="U149" s="420" t="s">
        <v>140</v>
      </c>
      <c r="V149" s="420">
        <v>1</v>
      </c>
      <c r="W149" s="420" t="s">
        <v>141</v>
      </c>
      <c r="X149" s="420">
        <v>1</v>
      </c>
      <c r="Y149" s="420" t="s">
        <v>164</v>
      </c>
      <c r="Z149" s="383"/>
      <c r="AA149" s="386">
        <f t="shared" si="2"/>
        <v>7.0124999999999993</v>
      </c>
    </row>
    <row r="150" spans="1:27" ht="15">
      <c r="A150" s="420">
        <v>415</v>
      </c>
      <c r="B150" s="420" t="s">
        <v>133</v>
      </c>
      <c r="C150" s="420">
        <v>7054</v>
      </c>
      <c r="D150" s="420" t="s">
        <v>134</v>
      </c>
      <c r="E150" s="420" t="s">
        <v>135</v>
      </c>
      <c r="F150" s="420" t="s">
        <v>136</v>
      </c>
      <c r="G150" s="420" t="s">
        <v>137</v>
      </c>
      <c r="H150" s="420">
        <v>62016000</v>
      </c>
      <c r="I150" s="420">
        <v>203</v>
      </c>
      <c r="J150" s="420" t="s">
        <v>138</v>
      </c>
      <c r="K150" s="420">
        <v>97</v>
      </c>
      <c r="L150" s="420">
        <v>49</v>
      </c>
      <c r="M150" s="420">
        <v>31</v>
      </c>
      <c r="N150" s="420" t="s">
        <v>139</v>
      </c>
      <c r="O150" s="420">
        <v>1214837000</v>
      </c>
      <c r="P150" s="421">
        <v>42809</v>
      </c>
      <c r="Q150" s="420">
        <v>5.4999999999999997E-3</v>
      </c>
      <c r="R150" s="421">
        <v>43174</v>
      </c>
      <c r="S150" s="420">
        <v>300000</v>
      </c>
      <c r="T150" s="420">
        <v>2</v>
      </c>
      <c r="U150" s="420" t="s">
        <v>140</v>
      </c>
      <c r="V150" s="420">
        <v>1</v>
      </c>
      <c r="W150" s="420" t="s">
        <v>141</v>
      </c>
      <c r="X150" s="420">
        <v>1</v>
      </c>
      <c r="Y150" s="420" t="s">
        <v>164</v>
      </c>
      <c r="Z150" s="383"/>
      <c r="AA150" s="386">
        <f t="shared" si="2"/>
        <v>16.5</v>
      </c>
    </row>
    <row r="151" spans="1:27" ht="15">
      <c r="A151" s="420">
        <v>416</v>
      </c>
      <c r="B151" s="420" t="s">
        <v>133</v>
      </c>
      <c r="C151" s="420">
        <v>7054</v>
      </c>
      <c r="D151" s="420" t="s">
        <v>134</v>
      </c>
      <c r="E151" s="420" t="s">
        <v>135</v>
      </c>
      <c r="F151" s="420" t="s">
        <v>136</v>
      </c>
      <c r="G151" s="420" t="s">
        <v>137</v>
      </c>
      <c r="H151" s="420">
        <v>62016000</v>
      </c>
      <c r="I151" s="420">
        <v>203</v>
      </c>
      <c r="J151" s="420" t="s">
        <v>138</v>
      </c>
      <c r="K151" s="420">
        <v>97</v>
      </c>
      <c r="L151" s="420">
        <v>49</v>
      </c>
      <c r="M151" s="420">
        <v>31</v>
      </c>
      <c r="N151" s="420" t="s">
        <v>139</v>
      </c>
      <c r="O151" s="420">
        <v>1214837000</v>
      </c>
      <c r="P151" s="421">
        <v>42811</v>
      </c>
      <c r="Q151" s="420">
        <v>5.4999999999999997E-3</v>
      </c>
      <c r="R151" s="421">
        <v>43175</v>
      </c>
      <c r="S151" s="420">
        <v>905000</v>
      </c>
      <c r="T151" s="420">
        <v>2</v>
      </c>
      <c r="U151" s="420" t="s">
        <v>140</v>
      </c>
      <c r="V151" s="420">
        <v>1</v>
      </c>
      <c r="W151" s="420" t="s">
        <v>141</v>
      </c>
      <c r="X151" s="420">
        <v>1</v>
      </c>
      <c r="Y151" s="420" t="s">
        <v>164</v>
      </c>
      <c r="Z151" s="383"/>
      <c r="AA151" s="386">
        <f t="shared" si="2"/>
        <v>49.774999999999999</v>
      </c>
    </row>
    <row r="152" spans="1:27" ht="15">
      <c r="A152" s="420">
        <v>602</v>
      </c>
      <c r="B152" s="420" t="s">
        <v>133</v>
      </c>
      <c r="C152" s="420">
        <v>28853</v>
      </c>
      <c r="D152" s="420" t="s">
        <v>143</v>
      </c>
      <c r="E152" s="420" t="s">
        <v>144</v>
      </c>
      <c r="F152" s="420" t="s">
        <v>145</v>
      </c>
      <c r="G152" s="420" t="s">
        <v>137</v>
      </c>
      <c r="H152" s="420">
        <v>61048000</v>
      </c>
      <c r="I152" s="420">
        <v>233</v>
      </c>
      <c r="J152" s="420" t="s">
        <v>138</v>
      </c>
      <c r="K152" s="420">
        <v>74</v>
      </c>
      <c r="L152" s="420">
        <v>37</v>
      </c>
      <c r="M152" s="420">
        <v>89</v>
      </c>
      <c r="N152" s="420" t="s">
        <v>146</v>
      </c>
      <c r="O152" s="420">
        <v>207658000</v>
      </c>
      <c r="P152" s="421">
        <v>42811</v>
      </c>
      <c r="Q152" s="420">
        <v>5.4999999999999997E-3</v>
      </c>
      <c r="R152" s="421">
        <v>43175</v>
      </c>
      <c r="S152" s="420">
        <v>1730000</v>
      </c>
      <c r="T152" s="420">
        <v>2</v>
      </c>
      <c r="U152" s="420" t="s">
        <v>140</v>
      </c>
      <c r="V152" s="420">
        <v>1</v>
      </c>
      <c r="W152" s="420" t="s">
        <v>141</v>
      </c>
      <c r="X152" s="420">
        <v>1</v>
      </c>
      <c r="Y152" s="420" t="s">
        <v>164</v>
      </c>
      <c r="Z152" s="383"/>
      <c r="AA152" s="386">
        <f t="shared" si="2"/>
        <v>95.149999999999991</v>
      </c>
    </row>
    <row r="153" spans="1:27" ht="15">
      <c r="A153" s="420">
        <v>84</v>
      </c>
      <c r="B153" s="420" t="s">
        <v>133</v>
      </c>
      <c r="C153" s="420">
        <v>21603</v>
      </c>
      <c r="D153" s="420" t="s">
        <v>195</v>
      </c>
      <c r="E153" s="420" t="s">
        <v>196</v>
      </c>
      <c r="F153" s="420" t="s">
        <v>197</v>
      </c>
      <c r="G153" s="420" t="s">
        <v>137</v>
      </c>
      <c r="H153" s="420">
        <v>61039000</v>
      </c>
      <c r="I153" s="420">
        <v>217</v>
      </c>
      <c r="J153" s="420" t="s">
        <v>138</v>
      </c>
      <c r="K153" s="420">
        <v>74</v>
      </c>
      <c r="L153" s="420">
        <v>37</v>
      </c>
      <c r="M153" s="420">
        <v>89</v>
      </c>
      <c r="N153" s="420" t="s">
        <v>146</v>
      </c>
      <c r="O153" s="420">
        <v>204539000</v>
      </c>
      <c r="P153" s="421">
        <v>42816</v>
      </c>
      <c r="Q153" s="420">
        <v>5.4999999999999997E-3</v>
      </c>
      <c r="R153" s="421">
        <v>43181</v>
      </c>
      <c r="S153" s="420">
        <v>75000</v>
      </c>
      <c r="T153" s="420">
        <v>2</v>
      </c>
      <c r="U153" s="420" t="s">
        <v>140</v>
      </c>
      <c r="V153" s="420">
        <v>1</v>
      </c>
      <c r="W153" s="420" t="s">
        <v>141</v>
      </c>
      <c r="X153" s="420">
        <v>1</v>
      </c>
      <c r="Y153" s="420" t="s">
        <v>164</v>
      </c>
      <c r="Z153" s="383"/>
      <c r="AA153" s="386">
        <f t="shared" si="2"/>
        <v>4.125</v>
      </c>
    </row>
    <row r="154" spans="1:27" ht="15">
      <c r="A154" s="420">
        <v>417</v>
      </c>
      <c r="B154" s="420" t="s">
        <v>133</v>
      </c>
      <c r="C154" s="420">
        <v>7054</v>
      </c>
      <c r="D154" s="420" t="s">
        <v>134</v>
      </c>
      <c r="E154" s="420" t="s">
        <v>135</v>
      </c>
      <c r="F154" s="420" t="s">
        <v>136</v>
      </c>
      <c r="G154" s="420" t="s">
        <v>137</v>
      </c>
      <c r="H154" s="420">
        <v>62016000</v>
      </c>
      <c r="I154" s="420">
        <v>203</v>
      </c>
      <c r="J154" s="420" t="s">
        <v>138</v>
      </c>
      <c r="K154" s="420">
        <v>97</v>
      </c>
      <c r="L154" s="420">
        <v>49</v>
      </c>
      <c r="M154" s="420">
        <v>31</v>
      </c>
      <c r="N154" s="420" t="s">
        <v>139</v>
      </c>
      <c r="O154" s="420">
        <v>1214837000</v>
      </c>
      <c r="P154" s="421">
        <v>42818</v>
      </c>
      <c r="Q154" s="420">
        <v>5.4999999999999997E-3</v>
      </c>
      <c r="R154" s="421">
        <v>43182</v>
      </c>
      <c r="S154" s="420">
        <v>15000</v>
      </c>
      <c r="T154" s="420">
        <v>2</v>
      </c>
      <c r="U154" s="420" t="s">
        <v>140</v>
      </c>
      <c r="V154" s="420">
        <v>1</v>
      </c>
      <c r="W154" s="420" t="s">
        <v>141</v>
      </c>
      <c r="X154" s="420">
        <v>1</v>
      </c>
      <c r="Y154" s="420" t="s">
        <v>164</v>
      </c>
      <c r="Z154" s="383"/>
      <c r="AA154" s="386">
        <f t="shared" si="2"/>
        <v>0.82499999999999996</v>
      </c>
    </row>
    <row r="155" spans="1:27" ht="15">
      <c r="A155" s="420">
        <v>418</v>
      </c>
      <c r="B155" s="420" t="s">
        <v>133</v>
      </c>
      <c r="C155" s="420">
        <v>7054</v>
      </c>
      <c r="D155" s="420" t="s">
        <v>134</v>
      </c>
      <c r="E155" s="420" t="s">
        <v>135</v>
      </c>
      <c r="F155" s="420" t="s">
        <v>136</v>
      </c>
      <c r="G155" s="420" t="s">
        <v>137</v>
      </c>
      <c r="H155" s="420">
        <v>62016000</v>
      </c>
      <c r="I155" s="420">
        <v>203</v>
      </c>
      <c r="J155" s="420" t="s">
        <v>138</v>
      </c>
      <c r="K155" s="420">
        <v>97</v>
      </c>
      <c r="L155" s="420">
        <v>49</v>
      </c>
      <c r="M155" s="420">
        <v>31</v>
      </c>
      <c r="N155" s="420" t="s">
        <v>139</v>
      </c>
      <c r="O155" s="420">
        <v>1214837000</v>
      </c>
      <c r="P155" s="421">
        <v>42818</v>
      </c>
      <c r="Q155" s="420">
        <v>5.4999999999999997E-3</v>
      </c>
      <c r="R155" s="421">
        <v>43182</v>
      </c>
      <c r="S155" s="420">
        <v>226000</v>
      </c>
      <c r="T155" s="420">
        <v>2</v>
      </c>
      <c r="U155" s="420" t="s">
        <v>140</v>
      </c>
      <c r="V155" s="420">
        <v>1</v>
      </c>
      <c r="W155" s="420" t="s">
        <v>141</v>
      </c>
      <c r="X155" s="420">
        <v>1</v>
      </c>
      <c r="Y155" s="420" t="s">
        <v>164</v>
      </c>
      <c r="Z155" s="383"/>
      <c r="AA155" s="386">
        <f t="shared" si="2"/>
        <v>12.43</v>
      </c>
    </row>
    <row r="156" spans="1:27" ht="15">
      <c r="A156" s="420">
        <v>419</v>
      </c>
      <c r="B156" s="420" t="s">
        <v>133</v>
      </c>
      <c r="C156" s="420">
        <v>7054</v>
      </c>
      <c r="D156" s="420" t="s">
        <v>134</v>
      </c>
      <c r="E156" s="420" t="s">
        <v>135</v>
      </c>
      <c r="F156" s="420" t="s">
        <v>136</v>
      </c>
      <c r="G156" s="420" t="s">
        <v>137</v>
      </c>
      <c r="H156" s="420">
        <v>62016000</v>
      </c>
      <c r="I156" s="420">
        <v>203</v>
      </c>
      <c r="J156" s="420" t="s">
        <v>138</v>
      </c>
      <c r="K156" s="420">
        <v>97</v>
      </c>
      <c r="L156" s="420">
        <v>49</v>
      </c>
      <c r="M156" s="420">
        <v>31</v>
      </c>
      <c r="N156" s="420" t="s">
        <v>139</v>
      </c>
      <c r="O156" s="420">
        <v>1214837000</v>
      </c>
      <c r="P156" s="421">
        <v>42818</v>
      </c>
      <c r="Q156" s="420">
        <v>5.4999999999999997E-3</v>
      </c>
      <c r="R156" s="421">
        <v>43182</v>
      </c>
      <c r="S156" s="420">
        <v>37000</v>
      </c>
      <c r="T156" s="420">
        <v>2</v>
      </c>
      <c r="U156" s="420" t="s">
        <v>140</v>
      </c>
      <c r="V156" s="420">
        <v>1</v>
      </c>
      <c r="W156" s="420" t="s">
        <v>141</v>
      </c>
      <c r="X156" s="420">
        <v>1</v>
      </c>
      <c r="Y156" s="420" t="s">
        <v>164</v>
      </c>
      <c r="Z156" s="383"/>
      <c r="AA156" s="386">
        <f t="shared" si="2"/>
        <v>2.0349999999999997</v>
      </c>
    </row>
    <row r="157" spans="1:27" ht="15">
      <c r="A157" s="420">
        <v>603</v>
      </c>
      <c r="B157" s="420" t="s">
        <v>133</v>
      </c>
      <c r="C157" s="420">
        <v>28853</v>
      </c>
      <c r="D157" s="420" t="s">
        <v>143</v>
      </c>
      <c r="E157" s="420" t="s">
        <v>144</v>
      </c>
      <c r="F157" s="420" t="s">
        <v>145</v>
      </c>
      <c r="G157" s="420" t="s">
        <v>137</v>
      </c>
      <c r="H157" s="420">
        <v>61048000</v>
      </c>
      <c r="I157" s="420">
        <v>233</v>
      </c>
      <c r="J157" s="420" t="s">
        <v>138</v>
      </c>
      <c r="K157" s="420">
        <v>74</v>
      </c>
      <c r="L157" s="420">
        <v>37</v>
      </c>
      <c r="M157" s="420">
        <v>89</v>
      </c>
      <c r="N157" s="420" t="s">
        <v>146</v>
      </c>
      <c r="O157" s="420">
        <v>207658000</v>
      </c>
      <c r="P157" s="421">
        <v>42818</v>
      </c>
      <c r="Q157" s="420">
        <v>8.3000000000000001E-3</v>
      </c>
      <c r="R157" s="421">
        <v>43914</v>
      </c>
      <c r="S157" s="420">
        <v>47257</v>
      </c>
      <c r="T157" s="420">
        <v>2</v>
      </c>
      <c r="U157" s="420" t="s">
        <v>140</v>
      </c>
      <c r="V157" s="420">
        <v>1</v>
      </c>
      <c r="W157" s="420" t="s">
        <v>141</v>
      </c>
      <c r="X157" s="420">
        <v>430</v>
      </c>
      <c r="Y157" s="420" t="s">
        <v>142</v>
      </c>
      <c r="Z157" s="383"/>
      <c r="AA157" s="386">
        <f t="shared" si="2"/>
        <v>3.9223309999999998</v>
      </c>
    </row>
    <row r="158" spans="1:27" ht="15">
      <c r="A158" s="420">
        <v>604</v>
      </c>
      <c r="B158" s="420" t="s">
        <v>133</v>
      </c>
      <c r="C158" s="420">
        <v>28853</v>
      </c>
      <c r="D158" s="420" t="s">
        <v>143</v>
      </c>
      <c r="E158" s="420" t="s">
        <v>144</v>
      </c>
      <c r="F158" s="420" t="s">
        <v>145</v>
      </c>
      <c r="G158" s="420" t="s">
        <v>137</v>
      </c>
      <c r="H158" s="420">
        <v>61048000</v>
      </c>
      <c r="I158" s="420">
        <v>233</v>
      </c>
      <c r="J158" s="420" t="s">
        <v>138</v>
      </c>
      <c r="K158" s="420">
        <v>74</v>
      </c>
      <c r="L158" s="420">
        <v>37</v>
      </c>
      <c r="M158" s="420">
        <v>89</v>
      </c>
      <c r="N158" s="420" t="s">
        <v>146</v>
      </c>
      <c r="O158" s="420">
        <v>207658000</v>
      </c>
      <c r="P158" s="421">
        <v>42818</v>
      </c>
      <c r="Q158" s="420">
        <v>5.4999999999999997E-3</v>
      </c>
      <c r="R158" s="421">
        <v>43182</v>
      </c>
      <c r="S158" s="420">
        <v>815000</v>
      </c>
      <c r="T158" s="420">
        <v>2</v>
      </c>
      <c r="U158" s="420" t="s">
        <v>140</v>
      </c>
      <c r="V158" s="420">
        <v>1</v>
      </c>
      <c r="W158" s="420" t="s">
        <v>141</v>
      </c>
      <c r="X158" s="420">
        <v>1</v>
      </c>
      <c r="Y158" s="420" t="s">
        <v>164</v>
      </c>
      <c r="Z158" s="383"/>
      <c r="AA158" s="386">
        <f t="shared" si="2"/>
        <v>44.824999999999996</v>
      </c>
    </row>
    <row r="159" spans="1:27" ht="15">
      <c r="A159" s="420"/>
      <c r="B159" s="420"/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0"/>
      <c r="Q159" s="420"/>
      <c r="R159" s="420"/>
      <c r="S159" s="420"/>
      <c r="T159" s="420"/>
      <c r="U159" s="420"/>
      <c r="V159" s="420"/>
      <c r="W159" s="420"/>
      <c r="X159" s="420"/>
      <c r="Y159" s="420"/>
      <c r="Z159" s="383"/>
      <c r="AA159" s="386">
        <f t="shared" si="2"/>
        <v>0</v>
      </c>
    </row>
    <row r="160" spans="1:27" ht="15">
      <c r="A160" s="420"/>
      <c r="B160" s="420"/>
      <c r="C160" s="420"/>
      <c r="D160" s="420"/>
      <c r="E160" s="420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383"/>
      <c r="AA160" s="386">
        <f t="shared" si="2"/>
        <v>0</v>
      </c>
    </row>
    <row r="161" spans="1:27" ht="15">
      <c r="A161" s="420"/>
      <c r="B161" s="420"/>
      <c r="C161" s="420"/>
      <c r="D161" s="420"/>
      <c r="E161" s="420"/>
      <c r="F161" s="420"/>
      <c r="G161" s="420"/>
      <c r="H161" s="420"/>
      <c r="I161" s="420"/>
      <c r="J161" s="420"/>
      <c r="K161" s="420"/>
      <c r="L161" s="420"/>
      <c r="M161" s="420"/>
      <c r="N161" s="420"/>
      <c r="O161" s="420"/>
      <c r="P161" s="420"/>
      <c r="Q161" s="420"/>
      <c r="R161" s="420"/>
      <c r="S161" s="420"/>
      <c r="T161" s="420"/>
      <c r="U161" s="420"/>
      <c r="V161" s="420"/>
      <c r="W161" s="420"/>
      <c r="X161" s="420"/>
      <c r="Y161" s="420"/>
      <c r="Z161" s="383"/>
      <c r="AA161" s="386">
        <f t="shared" si="2"/>
        <v>0</v>
      </c>
    </row>
    <row r="162" spans="1:27" ht="15">
      <c r="A162" s="420"/>
      <c r="B162" s="420"/>
      <c r="C162" s="420"/>
      <c r="D162" s="420"/>
      <c r="E162" s="420"/>
      <c r="F162" s="420"/>
      <c r="G162" s="420"/>
      <c r="H162" s="420"/>
      <c r="I162" s="420"/>
      <c r="J162" s="420"/>
      <c r="K162" s="420"/>
      <c r="L162" s="420"/>
      <c r="M162" s="420"/>
      <c r="N162" s="420"/>
      <c r="O162" s="420"/>
      <c r="P162" s="420"/>
      <c r="Q162" s="420"/>
      <c r="R162" s="420"/>
      <c r="S162" s="420"/>
      <c r="T162" s="420"/>
      <c r="U162" s="420"/>
      <c r="V162" s="420"/>
      <c r="W162" s="420"/>
      <c r="X162" s="420"/>
      <c r="Y162" s="420"/>
      <c r="Z162" s="383"/>
      <c r="AA162" s="386">
        <f t="shared" si="2"/>
        <v>0</v>
      </c>
    </row>
    <row r="163" spans="1:27" ht="15">
      <c r="A163" s="420"/>
      <c r="B163" s="420"/>
      <c r="C163" s="420"/>
      <c r="D163" s="420"/>
      <c r="E163" s="420"/>
      <c r="F163" s="420"/>
      <c r="G163" s="420"/>
      <c r="H163" s="420"/>
      <c r="I163" s="420"/>
      <c r="J163" s="420"/>
      <c r="K163" s="420"/>
      <c r="L163" s="420"/>
      <c r="M163" s="420"/>
      <c r="N163" s="420"/>
      <c r="O163" s="420"/>
      <c r="P163" s="420"/>
      <c r="Q163" s="420"/>
      <c r="R163" s="420"/>
      <c r="S163" s="420"/>
      <c r="T163" s="420"/>
      <c r="U163" s="420"/>
      <c r="V163" s="420"/>
      <c r="W163" s="420"/>
      <c r="X163" s="420"/>
      <c r="Y163" s="420"/>
      <c r="Z163" s="383"/>
      <c r="AA163" s="386">
        <f t="shared" si="2"/>
        <v>0</v>
      </c>
    </row>
    <row r="164" spans="1:27" ht="15">
      <c r="A164" s="420"/>
      <c r="B164" s="420"/>
      <c r="C164" s="420"/>
      <c r="D164" s="420"/>
      <c r="E164" s="420"/>
      <c r="F164" s="420"/>
      <c r="G164" s="420"/>
      <c r="H164" s="420"/>
      <c r="I164" s="420"/>
      <c r="J164" s="420"/>
      <c r="K164" s="420"/>
      <c r="L164" s="420"/>
      <c r="M164" s="420"/>
      <c r="N164" s="420"/>
      <c r="O164" s="420"/>
      <c r="P164" s="420"/>
      <c r="Q164" s="420"/>
      <c r="R164" s="420"/>
      <c r="S164" s="420"/>
      <c r="T164" s="420"/>
      <c r="U164" s="420"/>
      <c r="V164" s="420"/>
      <c r="W164" s="420"/>
      <c r="X164" s="420"/>
      <c r="Y164" s="420"/>
      <c r="Z164" s="383"/>
      <c r="AA164" s="386">
        <f t="shared" si="2"/>
        <v>0</v>
      </c>
    </row>
    <row r="165" spans="1:27" ht="15">
      <c r="A165" s="420"/>
      <c r="B165" s="420"/>
      <c r="C165" s="420"/>
      <c r="D165" s="420"/>
      <c r="E165" s="420"/>
      <c r="F165" s="420"/>
      <c r="G165" s="420"/>
      <c r="H165" s="420"/>
      <c r="I165" s="420"/>
      <c r="J165" s="420"/>
      <c r="K165" s="420"/>
      <c r="L165" s="420"/>
      <c r="M165" s="420"/>
      <c r="N165" s="420"/>
      <c r="O165" s="420"/>
      <c r="P165" s="420"/>
      <c r="Q165" s="420"/>
      <c r="R165" s="420"/>
      <c r="S165" s="420"/>
      <c r="T165" s="420"/>
      <c r="U165" s="420"/>
      <c r="V165" s="420"/>
      <c r="W165" s="420"/>
      <c r="X165" s="420"/>
      <c r="Y165" s="420"/>
      <c r="Z165" s="383"/>
      <c r="AA165" s="386">
        <f t="shared" si="2"/>
        <v>0</v>
      </c>
    </row>
    <row r="166" spans="1:27" ht="15">
      <c r="A166" s="420"/>
      <c r="B166" s="420"/>
      <c r="C166" s="420"/>
      <c r="D166" s="420"/>
      <c r="E166" s="420"/>
      <c r="F166" s="420"/>
      <c r="G166" s="420"/>
      <c r="H166" s="420"/>
      <c r="I166" s="420"/>
      <c r="J166" s="420"/>
      <c r="K166" s="420"/>
      <c r="L166" s="420"/>
      <c r="M166" s="420"/>
      <c r="N166" s="420"/>
      <c r="O166" s="420"/>
      <c r="P166" s="420"/>
      <c r="Q166" s="420"/>
      <c r="R166" s="420"/>
      <c r="S166" s="420"/>
      <c r="T166" s="420"/>
      <c r="U166" s="420"/>
      <c r="V166" s="420"/>
      <c r="W166" s="420"/>
      <c r="X166" s="420"/>
      <c r="Y166" s="420"/>
      <c r="Z166" s="383"/>
      <c r="AA166" s="386">
        <f t="shared" si="2"/>
        <v>0</v>
      </c>
    </row>
    <row r="167" spans="1:27" ht="15">
      <c r="A167" s="420"/>
      <c r="B167" s="420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0"/>
      <c r="P167" s="420"/>
      <c r="Q167" s="420"/>
      <c r="R167" s="420"/>
      <c r="S167" s="420"/>
      <c r="T167" s="420"/>
      <c r="U167" s="420"/>
      <c r="V167" s="420"/>
      <c r="W167" s="420"/>
      <c r="X167" s="420"/>
      <c r="Y167" s="420"/>
      <c r="Z167" s="383"/>
      <c r="AA167" s="386">
        <f t="shared" si="2"/>
        <v>0</v>
      </c>
    </row>
    <row r="168" spans="1:27" ht="15">
      <c r="A168" s="420"/>
      <c r="B168" s="420"/>
      <c r="C168" s="420"/>
      <c r="D168" s="420"/>
      <c r="E168" s="420"/>
      <c r="F168" s="420"/>
      <c r="G168" s="420"/>
      <c r="H168" s="420"/>
      <c r="I168" s="420"/>
      <c r="J168" s="420"/>
      <c r="K168" s="420"/>
      <c r="L168" s="420"/>
      <c r="M168" s="420"/>
      <c r="N168" s="420"/>
      <c r="O168" s="420"/>
      <c r="P168" s="420"/>
      <c r="Q168" s="420"/>
      <c r="R168" s="420"/>
      <c r="S168" s="420"/>
      <c r="T168" s="420"/>
      <c r="U168" s="420"/>
      <c r="V168" s="420"/>
      <c r="W168" s="420"/>
      <c r="X168" s="420"/>
      <c r="Y168" s="420"/>
      <c r="Z168" s="383"/>
      <c r="AA168" s="386">
        <f t="shared" si="2"/>
        <v>0</v>
      </c>
    </row>
    <row r="169" spans="1:27" ht="15">
      <c r="A169" s="420"/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383"/>
      <c r="AA169" s="386">
        <f t="shared" si="2"/>
        <v>0</v>
      </c>
    </row>
    <row r="170" spans="1:27" ht="15">
      <c r="A170" s="420"/>
      <c r="B170" s="420"/>
      <c r="C170" s="420"/>
      <c r="D170" s="420"/>
      <c r="E170" s="420"/>
      <c r="F170" s="420"/>
      <c r="G170" s="420"/>
      <c r="H170" s="420"/>
      <c r="I170" s="420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/>
      <c r="U170" s="420"/>
      <c r="V170" s="420"/>
      <c r="W170" s="420"/>
      <c r="X170" s="420"/>
      <c r="Y170" s="420"/>
      <c r="Z170" s="383"/>
      <c r="AA170" s="386">
        <f t="shared" si="2"/>
        <v>0</v>
      </c>
    </row>
    <row r="171" spans="1:27" ht="15">
      <c r="A171" s="420"/>
      <c r="B171" s="420"/>
      <c r="C171" s="420"/>
      <c r="D171" s="420"/>
      <c r="E171" s="420"/>
      <c r="F171" s="420"/>
      <c r="G171" s="420"/>
      <c r="H171" s="420"/>
      <c r="I171" s="420"/>
      <c r="J171" s="420"/>
      <c r="K171" s="420"/>
      <c r="L171" s="420"/>
      <c r="M171" s="420"/>
      <c r="N171" s="420"/>
      <c r="O171" s="420"/>
      <c r="P171" s="420"/>
      <c r="Q171" s="420"/>
      <c r="R171" s="420"/>
      <c r="S171" s="420"/>
      <c r="T171" s="420"/>
      <c r="U171" s="420"/>
      <c r="V171" s="420"/>
      <c r="W171" s="420"/>
      <c r="X171" s="420"/>
      <c r="Y171" s="420"/>
      <c r="Z171" s="383"/>
      <c r="AA171" s="386">
        <f t="shared" si="2"/>
        <v>0</v>
      </c>
    </row>
    <row r="172" spans="1:27" ht="15">
      <c r="A172" s="420"/>
      <c r="B172" s="420"/>
      <c r="C172" s="420"/>
      <c r="D172" s="420"/>
      <c r="E172" s="420"/>
      <c r="F172" s="420"/>
      <c r="G172" s="420"/>
      <c r="H172" s="420"/>
      <c r="I172" s="420"/>
      <c r="J172" s="420"/>
      <c r="K172" s="420"/>
      <c r="L172" s="420"/>
      <c r="M172" s="420"/>
      <c r="N172" s="420"/>
      <c r="O172" s="420"/>
      <c r="P172" s="420"/>
      <c r="Q172" s="420"/>
      <c r="R172" s="420"/>
      <c r="S172" s="420"/>
      <c r="T172" s="420"/>
      <c r="U172" s="420"/>
      <c r="V172" s="420"/>
      <c r="W172" s="420"/>
      <c r="X172" s="420"/>
      <c r="Y172" s="420"/>
      <c r="Z172" s="383"/>
      <c r="AA172" s="386">
        <f t="shared" si="2"/>
        <v>0</v>
      </c>
    </row>
    <row r="173" spans="1:27" ht="15">
      <c r="A173" s="420"/>
      <c r="B173" s="420"/>
      <c r="C173" s="420"/>
      <c r="D173" s="420"/>
      <c r="E173" s="420"/>
      <c r="F173" s="420"/>
      <c r="G173" s="420"/>
      <c r="H173" s="420"/>
      <c r="I173" s="420"/>
      <c r="J173" s="420"/>
      <c r="K173" s="420"/>
      <c r="L173" s="420"/>
      <c r="M173" s="420"/>
      <c r="N173" s="420"/>
      <c r="O173" s="420"/>
      <c r="P173" s="420"/>
      <c r="Q173" s="420"/>
      <c r="R173" s="420"/>
      <c r="S173" s="420"/>
      <c r="T173" s="420"/>
      <c r="U173" s="420"/>
      <c r="V173" s="420"/>
      <c r="W173" s="420"/>
      <c r="X173" s="420"/>
      <c r="Y173" s="420"/>
      <c r="Z173" s="383"/>
      <c r="AA173" s="386">
        <f t="shared" si="2"/>
        <v>0</v>
      </c>
    </row>
    <row r="174" spans="1:27" ht="15">
      <c r="A174" s="420"/>
      <c r="B174" s="420"/>
      <c r="C174" s="420"/>
      <c r="D174" s="420"/>
      <c r="E174" s="420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383"/>
      <c r="AA174" s="386">
        <f t="shared" si="2"/>
        <v>0</v>
      </c>
    </row>
    <row r="175" spans="1:27" ht="15">
      <c r="A175" s="420"/>
      <c r="B175" s="420"/>
      <c r="C175" s="420"/>
      <c r="D175" s="420"/>
      <c r="E175" s="420"/>
      <c r="F175" s="420"/>
      <c r="G175" s="420"/>
      <c r="H175" s="420"/>
      <c r="I175" s="420"/>
      <c r="J175" s="420"/>
      <c r="K175" s="420"/>
      <c r="L175" s="420"/>
      <c r="M175" s="420"/>
      <c r="N175" s="420"/>
      <c r="O175" s="420"/>
      <c r="P175" s="420"/>
      <c r="Q175" s="420"/>
      <c r="R175" s="420"/>
      <c r="S175" s="420"/>
      <c r="T175" s="420"/>
      <c r="U175" s="420"/>
      <c r="V175" s="420"/>
      <c r="W175" s="420"/>
      <c r="X175" s="420"/>
      <c r="Y175" s="420"/>
      <c r="Z175" s="383"/>
      <c r="AA175" s="386">
        <f t="shared" si="2"/>
        <v>0</v>
      </c>
    </row>
    <row r="176" spans="1:27" ht="15">
      <c r="A176" s="420"/>
      <c r="B176" s="420"/>
      <c r="C176" s="420"/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0"/>
      <c r="T176" s="420"/>
      <c r="U176" s="420"/>
      <c r="V176" s="420"/>
      <c r="W176" s="420"/>
      <c r="X176" s="420"/>
      <c r="Y176" s="420"/>
      <c r="Z176" s="383"/>
      <c r="AA176" s="386">
        <f t="shared" si="2"/>
        <v>0</v>
      </c>
    </row>
    <row r="177" spans="1:27" ht="15">
      <c r="A177" s="420"/>
      <c r="B177" s="420"/>
      <c r="C177" s="420"/>
      <c r="D177" s="420"/>
      <c r="E177" s="420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383"/>
      <c r="AA177" s="386">
        <f t="shared" si="2"/>
        <v>0</v>
      </c>
    </row>
    <row r="178" spans="1:27" ht="15">
      <c r="A178" s="420"/>
      <c r="B178" s="420"/>
      <c r="C178" s="420"/>
      <c r="D178" s="420"/>
      <c r="E178" s="420"/>
      <c r="F178" s="420"/>
      <c r="G178" s="420"/>
      <c r="H178" s="420"/>
      <c r="I178" s="420"/>
      <c r="J178" s="420"/>
      <c r="K178" s="420"/>
      <c r="L178" s="420"/>
      <c r="M178" s="420"/>
      <c r="N178" s="420"/>
      <c r="O178" s="420"/>
      <c r="P178" s="420"/>
      <c r="Q178" s="420"/>
      <c r="R178" s="420"/>
      <c r="S178" s="420"/>
      <c r="T178" s="420"/>
      <c r="U178" s="420"/>
      <c r="V178" s="420"/>
      <c r="W178" s="420"/>
      <c r="X178" s="420"/>
      <c r="Y178" s="420"/>
      <c r="Z178" s="383"/>
      <c r="AA178" s="386">
        <f t="shared" si="2"/>
        <v>0</v>
      </c>
    </row>
    <row r="179" spans="1:27" ht="15">
      <c r="A179" s="420"/>
      <c r="B179" s="420"/>
      <c r="C179" s="420"/>
      <c r="D179" s="420"/>
      <c r="E179" s="420"/>
      <c r="F179" s="420"/>
      <c r="G179" s="420"/>
      <c r="H179" s="420"/>
      <c r="I179" s="420"/>
      <c r="J179" s="420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420"/>
      <c r="W179" s="420"/>
      <c r="X179" s="420"/>
      <c r="Y179" s="420"/>
      <c r="Z179" s="383"/>
      <c r="AA179" s="386">
        <f t="shared" si="2"/>
        <v>0</v>
      </c>
    </row>
    <row r="180" spans="1:27" ht="15">
      <c r="A180" s="420"/>
      <c r="B180" s="420"/>
      <c r="C180" s="420"/>
      <c r="D180" s="420"/>
      <c r="E180" s="420"/>
      <c r="F180" s="420"/>
      <c r="G180" s="420"/>
      <c r="H180" s="420"/>
      <c r="I180" s="420"/>
      <c r="J180" s="420"/>
      <c r="K180" s="420"/>
      <c r="L180" s="420"/>
      <c r="M180" s="420"/>
      <c r="N180" s="420"/>
      <c r="O180" s="420"/>
      <c r="P180" s="420"/>
      <c r="Q180" s="420"/>
      <c r="R180" s="420"/>
      <c r="S180" s="420"/>
      <c r="T180" s="420"/>
      <c r="U180" s="420"/>
      <c r="V180" s="420"/>
      <c r="W180" s="420"/>
      <c r="X180" s="420"/>
      <c r="Y180" s="420"/>
      <c r="Z180" s="383"/>
      <c r="AA180" s="386">
        <f t="shared" si="2"/>
        <v>0</v>
      </c>
    </row>
    <row r="181" spans="1:27" ht="15">
      <c r="A181" s="420"/>
      <c r="B181" s="420"/>
      <c r="C181" s="420"/>
      <c r="D181" s="420"/>
      <c r="E181" s="420"/>
      <c r="F181" s="420"/>
      <c r="G181" s="420"/>
      <c r="H181" s="420"/>
      <c r="I181" s="420"/>
      <c r="J181" s="420"/>
      <c r="K181" s="420"/>
      <c r="L181" s="420"/>
      <c r="M181" s="420"/>
      <c r="N181" s="420"/>
      <c r="O181" s="420"/>
      <c r="P181" s="420"/>
      <c r="Q181" s="420"/>
      <c r="R181" s="420"/>
      <c r="S181" s="420"/>
      <c r="T181" s="420"/>
      <c r="U181" s="420"/>
      <c r="V181" s="420"/>
      <c r="W181" s="420"/>
      <c r="X181" s="420"/>
      <c r="Y181" s="420"/>
      <c r="Z181" s="383"/>
      <c r="AA181" s="386">
        <f t="shared" si="2"/>
        <v>0</v>
      </c>
    </row>
    <row r="182" spans="1:27" ht="15">
      <c r="A182" s="420"/>
      <c r="B182" s="420"/>
      <c r="C182" s="420"/>
      <c r="D182" s="420"/>
      <c r="E182" s="420"/>
      <c r="F182" s="420"/>
      <c r="G182" s="420"/>
      <c r="H182" s="420"/>
      <c r="I182" s="420"/>
      <c r="J182" s="420"/>
      <c r="K182" s="420"/>
      <c r="L182" s="420"/>
      <c r="M182" s="420"/>
      <c r="N182" s="420"/>
      <c r="O182" s="420"/>
      <c r="P182" s="420"/>
      <c r="Q182" s="420"/>
      <c r="R182" s="420"/>
      <c r="S182" s="420"/>
      <c r="T182" s="420"/>
      <c r="U182" s="420"/>
      <c r="V182" s="420"/>
      <c r="W182" s="420"/>
      <c r="X182" s="420"/>
      <c r="Y182" s="420"/>
      <c r="Z182" s="383"/>
      <c r="AA182" s="386">
        <f t="shared" si="2"/>
        <v>0</v>
      </c>
    </row>
    <row r="183" spans="1:27" ht="15">
      <c r="A183" s="420"/>
      <c r="B183" s="420"/>
      <c r="C183" s="420"/>
      <c r="D183" s="420"/>
      <c r="E183" s="420"/>
      <c r="F183" s="420"/>
      <c r="G183" s="420"/>
      <c r="H183" s="420"/>
      <c r="I183" s="420"/>
      <c r="J183" s="420"/>
      <c r="K183" s="420"/>
      <c r="L183" s="420"/>
      <c r="M183" s="420"/>
      <c r="N183" s="420"/>
      <c r="O183" s="420"/>
      <c r="P183" s="420"/>
      <c r="Q183" s="420"/>
      <c r="R183" s="420"/>
      <c r="S183" s="420"/>
      <c r="T183" s="420"/>
      <c r="U183" s="420"/>
      <c r="V183" s="420"/>
      <c r="W183" s="420"/>
      <c r="X183" s="420"/>
      <c r="Y183" s="420"/>
      <c r="Z183" s="383"/>
      <c r="AA183" s="386">
        <f t="shared" si="2"/>
        <v>0</v>
      </c>
    </row>
    <row r="184" spans="1:27" ht="15">
      <c r="A184" s="420"/>
      <c r="B184" s="420"/>
      <c r="C184" s="420"/>
      <c r="D184" s="420"/>
      <c r="E184" s="420"/>
      <c r="F184" s="420"/>
      <c r="G184" s="420"/>
      <c r="H184" s="420"/>
      <c r="I184" s="420"/>
      <c r="J184" s="420"/>
      <c r="K184" s="420"/>
      <c r="L184" s="420"/>
      <c r="M184" s="420"/>
      <c r="N184" s="420"/>
      <c r="O184" s="420"/>
      <c r="P184" s="420"/>
      <c r="Q184" s="420"/>
      <c r="R184" s="420"/>
      <c r="S184" s="420"/>
      <c r="T184" s="420"/>
      <c r="U184" s="420"/>
      <c r="V184" s="420"/>
      <c r="W184" s="420"/>
      <c r="X184" s="420"/>
      <c r="Y184" s="420"/>
      <c r="Z184" s="383"/>
      <c r="AA184" s="386">
        <f t="shared" si="2"/>
        <v>0</v>
      </c>
    </row>
    <row r="185" spans="1:27" ht="15">
      <c r="A185" s="420"/>
      <c r="B185" s="420"/>
      <c r="C185" s="420"/>
      <c r="D185" s="420"/>
      <c r="E185" s="420"/>
      <c r="F185" s="420"/>
      <c r="G185" s="420"/>
      <c r="H185" s="420"/>
      <c r="I185" s="420"/>
      <c r="J185" s="420"/>
      <c r="K185" s="420"/>
      <c r="L185" s="420"/>
      <c r="M185" s="420"/>
      <c r="N185" s="420"/>
      <c r="O185" s="420"/>
      <c r="P185" s="420"/>
      <c r="Q185" s="420"/>
      <c r="R185" s="420"/>
      <c r="S185" s="420"/>
      <c r="T185" s="420"/>
      <c r="U185" s="420"/>
      <c r="V185" s="420"/>
      <c r="W185" s="420"/>
      <c r="X185" s="420"/>
      <c r="Y185" s="420"/>
      <c r="Z185" s="383"/>
      <c r="AA185" s="386">
        <f t="shared" si="2"/>
        <v>0</v>
      </c>
    </row>
    <row r="186" spans="1:27" ht="15">
      <c r="A186" s="420"/>
      <c r="B186" s="420"/>
      <c r="C186" s="420"/>
      <c r="D186" s="420"/>
      <c r="E186" s="420"/>
      <c r="F186" s="420"/>
      <c r="G186" s="420"/>
      <c r="H186" s="420"/>
      <c r="I186" s="420"/>
      <c r="J186" s="420"/>
      <c r="K186" s="420"/>
      <c r="L186" s="420"/>
      <c r="M186" s="420"/>
      <c r="N186" s="420"/>
      <c r="O186" s="420"/>
      <c r="P186" s="420"/>
      <c r="Q186" s="420"/>
      <c r="R186" s="420"/>
      <c r="S186" s="420"/>
      <c r="T186" s="420"/>
      <c r="U186" s="420"/>
      <c r="V186" s="420"/>
      <c r="W186" s="420"/>
      <c r="X186" s="420"/>
      <c r="Y186" s="420"/>
      <c r="Z186" s="383"/>
      <c r="AA186" s="386">
        <f t="shared" si="2"/>
        <v>0</v>
      </c>
    </row>
    <row r="187" spans="1:27" ht="15">
      <c r="A187" s="420"/>
      <c r="B187" s="420"/>
      <c r="C187" s="420"/>
      <c r="D187" s="420"/>
      <c r="E187" s="420"/>
      <c r="F187" s="420"/>
      <c r="G187" s="420"/>
      <c r="H187" s="420"/>
      <c r="I187" s="420"/>
      <c r="J187" s="420"/>
      <c r="K187" s="420"/>
      <c r="L187" s="420"/>
      <c r="M187" s="420"/>
      <c r="N187" s="420"/>
      <c r="O187" s="420"/>
      <c r="P187" s="420"/>
      <c r="Q187" s="420"/>
      <c r="R187" s="420"/>
      <c r="S187" s="420"/>
      <c r="T187" s="420"/>
      <c r="U187" s="420"/>
      <c r="V187" s="420"/>
      <c r="W187" s="420"/>
      <c r="X187" s="420"/>
      <c r="Y187" s="420"/>
      <c r="Z187" s="383"/>
      <c r="AA187" s="386">
        <f t="shared" si="2"/>
        <v>0</v>
      </c>
    </row>
    <row r="188" spans="1:27" ht="15">
      <c r="A188" s="420"/>
      <c r="B188" s="420"/>
      <c r="C188" s="420"/>
      <c r="D188" s="420"/>
      <c r="E188" s="420"/>
      <c r="F188" s="420"/>
      <c r="G188" s="420"/>
      <c r="H188" s="420"/>
      <c r="I188" s="420"/>
      <c r="J188" s="420"/>
      <c r="K188" s="420"/>
      <c r="L188" s="420"/>
      <c r="M188" s="420"/>
      <c r="N188" s="420"/>
      <c r="O188" s="420"/>
      <c r="P188" s="420"/>
      <c r="Q188" s="420"/>
      <c r="R188" s="420"/>
      <c r="S188" s="420"/>
      <c r="T188" s="420"/>
      <c r="U188" s="420"/>
      <c r="V188" s="420"/>
      <c r="W188" s="420"/>
      <c r="X188" s="420"/>
      <c r="Y188" s="420"/>
      <c r="Z188" s="383"/>
      <c r="AA188" s="386">
        <f t="shared" si="2"/>
        <v>0</v>
      </c>
    </row>
    <row r="189" spans="1:27" ht="15">
      <c r="A189" s="420"/>
      <c r="B189" s="420"/>
      <c r="C189" s="420"/>
      <c r="D189" s="420"/>
      <c r="E189" s="420"/>
      <c r="F189" s="420"/>
      <c r="G189" s="420"/>
      <c r="H189" s="420"/>
      <c r="I189" s="420"/>
      <c r="J189" s="420"/>
      <c r="K189" s="420"/>
      <c r="L189" s="420"/>
      <c r="M189" s="420"/>
      <c r="N189" s="420"/>
      <c r="O189" s="420"/>
      <c r="P189" s="420"/>
      <c r="Q189" s="420"/>
      <c r="R189" s="420"/>
      <c r="S189" s="420"/>
      <c r="T189" s="420"/>
      <c r="U189" s="420"/>
      <c r="V189" s="420"/>
      <c r="W189" s="420"/>
      <c r="X189" s="420"/>
      <c r="Y189" s="420"/>
      <c r="Z189" s="383"/>
      <c r="AA189" s="386">
        <f t="shared" si="2"/>
        <v>0</v>
      </c>
    </row>
    <row r="190" spans="1:27" ht="15">
      <c r="A190" s="420"/>
      <c r="B190" s="420"/>
      <c r="C190" s="420"/>
      <c r="D190" s="420"/>
      <c r="E190" s="420"/>
      <c r="F190" s="420"/>
      <c r="G190" s="420"/>
      <c r="H190" s="420"/>
      <c r="I190" s="420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383"/>
      <c r="AA190" s="386">
        <f t="shared" si="2"/>
        <v>0</v>
      </c>
    </row>
    <row r="191" spans="1:27" ht="15">
      <c r="A191" s="420"/>
      <c r="B191" s="420"/>
      <c r="C191" s="420"/>
      <c r="D191" s="420"/>
      <c r="E191" s="420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383"/>
      <c r="AA191" s="386">
        <f t="shared" si="2"/>
        <v>0</v>
      </c>
    </row>
    <row r="192" spans="1:27" ht="15">
      <c r="A192" s="420"/>
      <c r="B192" s="420"/>
      <c r="C192" s="420"/>
      <c r="D192" s="420"/>
      <c r="E192" s="420"/>
      <c r="F192" s="420"/>
      <c r="G192" s="420"/>
      <c r="H192" s="420"/>
      <c r="I192" s="420"/>
      <c r="J192" s="420"/>
      <c r="K192" s="420"/>
      <c r="L192" s="420"/>
      <c r="M192" s="420"/>
      <c r="N192" s="420"/>
      <c r="O192" s="420"/>
      <c r="P192" s="420"/>
      <c r="Q192" s="420"/>
      <c r="R192" s="420"/>
      <c r="S192" s="420"/>
      <c r="T192" s="420"/>
      <c r="U192" s="420"/>
      <c r="V192" s="420"/>
      <c r="W192" s="420"/>
      <c r="X192" s="420"/>
      <c r="Y192" s="420"/>
      <c r="Z192" s="383"/>
      <c r="AA192" s="386">
        <f t="shared" ref="AA192:AA255" si="3">(S192*Q192%)</f>
        <v>0</v>
      </c>
    </row>
    <row r="193" spans="1:27" ht="15">
      <c r="A193" s="420"/>
      <c r="B193" s="420"/>
      <c r="C193" s="420"/>
      <c r="D193" s="420"/>
      <c r="E193" s="420"/>
      <c r="F193" s="420"/>
      <c r="G193" s="420"/>
      <c r="H193" s="420"/>
      <c r="I193" s="420"/>
      <c r="J193" s="420"/>
      <c r="K193" s="420"/>
      <c r="L193" s="420"/>
      <c r="M193" s="420"/>
      <c r="N193" s="420"/>
      <c r="O193" s="420"/>
      <c r="P193" s="420"/>
      <c r="Q193" s="420"/>
      <c r="R193" s="420"/>
      <c r="S193" s="420"/>
      <c r="T193" s="420"/>
      <c r="U193" s="420"/>
      <c r="V193" s="420"/>
      <c r="W193" s="420"/>
      <c r="X193" s="420"/>
      <c r="Y193" s="420"/>
      <c r="Z193" s="383"/>
      <c r="AA193" s="386">
        <f t="shared" si="3"/>
        <v>0</v>
      </c>
    </row>
    <row r="194" spans="1:27" ht="15">
      <c r="A194" s="420"/>
      <c r="B194" s="420"/>
      <c r="C194" s="420"/>
      <c r="D194" s="420"/>
      <c r="E194" s="420"/>
      <c r="F194" s="420"/>
      <c r="G194" s="420"/>
      <c r="H194" s="420"/>
      <c r="I194" s="420"/>
      <c r="J194" s="420"/>
      <c r="K194" s="420"/>
      <c r="L194" s="420"/>
      <c r="M194" s="420"/>
      <c r="N194" s="420"/>
      <c r="O194" s="420"/>
      <c r="P194" s="420"/>
      <c r="Q194" s="420"/>
      <c r="R194" s="420"/>
      <c r="S194" s="420"/>
      <c r="T194" s="420"/>
      <c r="U194" s="420"/>
      <c r="V194" s="420"/>
      <c r="W194" s="420"/>
      <c r="X194" s="420"/>
      <c r="Y194" s="420"/>
      <c r="Z194" s="383"/>
      <c r="AA194" s="386">
        <f t="shared" si="3"/>
        <v>0</v>
      </c>
    </row>
    <row r="195" spans="1:27" ht="15">
      <c r="A195" s="420"/>
      <c r="B195" s="420"/>
      <c r="C195" s="420"/>
      <c r="D195" s="420"/>
      <c r="E195" s="420"/>
      <c r="F195" s="420"/>
      <c r="G195" s="420"/>
      <c r="H195" s="420"/>
      <c r="I195" s="420"/>
      <c r="J195" s="420"/>
      <c r="K195" s="420"/>
      <c r="L195" s="420"/>
      <c r="M195" s="420"/>
      <c r="N195" s="420"/>
      <c r="O195" s="420"/>
      <c r="P195" s="420"/>
      <c r="Q195" s="420"/>
      <c r="R195" s="420"/>
      <c r="S195" s="420"/>
      <c r="T195" s="420"/>
      <c r="U195" s="420"/>
      <c r="V195" s="420"/>
      <c r="W195" s="420"/>
      <c r="X195" s="420"/>
      <c r="Y195" s="420"/>
      <c r="Z195" s="383"/>
      <c r="AA195" s="386">
        <f t="shared" si="3"/>
        <v>0</v>
      </c>
    </row>
    <row r="196" spans="1:27" ht="15">
      <c r="A196" s="420"/>
      <c r="B196" s="420"/>
      <c r="C196" s="420"/>
      <c r="D196" s="420"/>
      <c r="E196" s="420"/>
      <c r="F196" s="420"/>
      <c r="G196" s="420"/>
      <c r="H196" s="420"/>
      <c r="I196" s="420"/>
      <c r="J196" s="420"/>
      <c r="K196" s="420"/>
      <c r="L196" s="420"/>
      <c r="M196" s="420"/>
      <c r="N196" s="420"/>
      <c r="O196" s="420"/>
      <c r="P196" s="420"/>
      <c r="Q196" s="420"/>
      <c r="R196" s="420"/>
      <c r="S196" s="420"/>
      <c r="T196" s="420"/>
      <c r="U196" s="420"/>
      <c r="V196" s="420"/>
      <c r="W196" s="420"/>
      <c r="X196" s="420"/>
      <c r="Y196" s="420"/>
      <c r="Z196" s="383"/>
      <c r="AA196" s="386">
        <f t="shared" si="3"/>
        <v>0</v>
      </c>
    </row>
    <row r="197" spans="1:27" ht="15">
      <c r="A197" s="420"/>
      <c r="B197" s="420"/>
      <c r="C197" s="420"/>
      <c r="D197" s="420"/>
      <c r="E197" s="420"/>
      <c r="F197" s="420"/>
      <c r="G197" s="420"/>
      <c r="H197" s="420"/>
      <c r="I197" s="420"/>
      <c r="J197" s="420"/>
      <c r="K197" s="420"/>
      <c r="L197" s="420"/>
      <c r="M197" s="420"/>
      <c r="N197" s="420"/>
      <c r="O197" s="420"/>
      <c r="P197" s="420"/>
      <c r="Q197" s="420"/>
      <c r="R197" s="420"/>
      <c r="S197" s="420"/>
      <c r="T197" s="420"/>
      <c r="U197" s="420"/>
      <c r="V197" s="420"/>
      <c r="W197" s="420"/>
      <c r="X197" s="420"/>
      <c r="Y197" s="420"/>
      <c r="Z197" s="383"/>
      <c r="AA197" s="386">
        <f t="shared" si="3"/>
        <v>0</v>
      </c>
    </row>
    <row r="198" spans="1:27" ht="15">
      <c r="A198" s="420"/>
      <c r="B198" s="420"/>
      <c r="C198" s="420"/>
      <c r="D198" s="420"/>
      <c r="E198" s="420"/>
      <c r="F198" s="420"/>
      <c r="G198" s="420"/>
      <c r="H198" s="420"/>
      <c r="I198" s="420"/>
      <c r="J198" s="420"/>
      <c r="K198" s="420"/>
      <c r="L198" s="420"/>
      <c r="M198" s="420"/>
      <c r="N198" s="420"/>
      <c r="O198" s="420"/>
      <c r="P198" s="420"/>
      <c r="Q198" s="420"/>
      <c r="R198" s="420"/>
      <c r="S198" s="420"/>
      <c r="T198" s="420"/>
      <c r="U198" s="420"/>
      <c r="V198" s="420"/>
      <c r="W198" s="420"/>
      <c r="X198" s="420"/>
      <c r="Y198" s="420"/>
      <c r="Z198" s="383"/>
      <c r="AA198" s="386">
        <f t="shared" si="3"/>
        <v>0</v>
      </c>
    </row>
    <row r="199" spans="1:27" ht="15">
      <c r="A199" s="420"/>
      <c r="B199" s="420"/>
      <c r="C199" s="420"/>
      <c r="D199" s="420"/>
      <c r="E199" s="420"/>
      <c r="F199" s="420"/>
      <c r="G199" s="420"/>
      <c r="H199" s="420"/>
      <c r="I199" s="420"/>
      <c r="J199" s="420"/>
      <c r="K199" s="420"/>
      <c r="L199" s="420"/>
      <c r="M199" s="420"/>
      <c r="N199" s="420"/>
      <c r="O199" s="420"/>
      <c r="P199" s="420"/>
      <c r="Q199" s="420"/>
      <c r="R199" s="420"/>
      <c r="S199" s="420"/>
      <c r="T199" s="420"/>
      <c r="U199" s="420"/>
      <c r="V199" s="420"/>
      <c r="W199" s="420"/>
      <c r="X199" s="420"/>
      <c r="Y199" s="420"/>
      <c r="Z199" s="383"/>
      <c r="AA199" s="386">
        <f t="shared" si="3"/>
        <v>0</v>
      </c>
    </row>
    <row r="200" spans="1:27" ht="15">
      <c r="A200" s="420"/>
      <c r="B200" s="420"/>
      <c r="C200" s="420"/>
      <c r="D200" s="420"/>
      <c r="E200" s="420"/>
      <c r="F200" s="420"/>
      <c r="G200" s="420"/>
      <c r="H200" s="420"/>
      <c r="I200" s="420"/>
      <c r="J200" s="420"/>
      <c r="K200" s="420"/>
      <c r="L200" s="420"/>
      <c r="M200" s="420"/>
      <c r="N200" s="420"/>
      <c r="O200" s="420"/>
      <c r="P200" s="420"/>
      <c r="Q200" s="420"/>
      <c r="R200" s="420"/>
      <c r="S200" s="420"/>
      <c r="T200" s="420"/>
      <c r="U200" s="420"/>
      <c r="V200" s="420"/>
      <c r="W200" s="420"/>
      <c r="X200" s="420"/>
      <c r="Y200" s="420"/>
      <c r="Z200" s="383"/>
      <c r="AA200" s="386">
        <f t="shared" si="3"/>
        <v>0</v>
      </c>
    </row>
    <row r="201" spans="1:27" ht="15">
      <c r="A201" s="420"/>
      <c r="B201" s="420"/>
      <c r="C201" s="420"/>
      <c r="D201" s="420"/>
      <c r="E201" s="420"/>
      <c r="F201" s="420"/>
      <c r="G201" s="420"/>
      <c r="H201" s="420"/>
      <c r="I201" s="420"/>
      <c r="J201" s="420"/>
      <c r="K201" s="420"/>
      <c r="L201" s="420"/>
      <c r="M201" s="420"/>
      <c r="N201" s="420"/>
      <c r="O201" s="420"/>
      <c r="P201" s="420"/>
      <c r="Q201" s="420"/>
      <c r="R201" s="420"/>
      <c r="S201" s="420"/>
      <c r="T201" s="420"/>
      <c r="U201" s="420"/>
      <c r="V201" s="420"/>
      <c r="W201" s="420"/>
      <c r="X201" s="420"/>
      <c r="Y201" s="420"/>
      <c r="Z201" s="383"/>
      <c r="AA201" s="386">
        <f t="shared" si="3"/>
        <v>0</v>
      </c>
    </row>
    <row r="202" spans="1:27" ht="15">
      <c r="A202" s="420"/>
      <c r="B202" s="420"/>
      <c r="C202" s="420"/>
      <c r="D202" s="420"/>
      <c r="E202" s="420"/>
      <c r="F202" s="420"/>
      <c r="G202" s="420"/>
      <c r="H202" s="420"/>
      <c r="I202" s="420"/>
      <c r="J202" s="420"/>
      <c r="K202" s="420"/>
      <c r="L202" s="420"/>
      <c r="M202" s="420"/>
      <c r="N202" s="420"/>
      <c r="O202" s="420"/>
      <c r="P202" s="420"/>
      <c r="Q202" s="420"/>
      <c r="R202" s="420"/>
      <c r="S202" s="420"/>
      <c r="T202" s="420"/>
      <c r="U202" s="420"/>
      <c r="V202" s="420"/>
      <c r="W202" s="420"/>
      <c r="X202" s="420"/>
      <c r="Y202" s="420"/>
      <c r="Z202" s="383"/>
      <c r="AA202" s="386">
        <f t="shared" si="3"/>
        <v>0</v>
      </c>
    </row>
    <row r="203" spans="1:27" ht="15">
      <c r="A203" s="420"/>
      <c r="B203" s="420"/>
      <c r="C203" s="420"/>
      <c r="D203" s="420"/>
      <c r="E203" s="420"/>
      <c r="F203" s="420"/>
      <c r="G203" s="420"/>
      <c r="H203" s="420"/>
      <c r="I203" s="420"/>
      <c r="J203" s="420"/>
      <c r="K203" s="420"/>
      <c r="L203" s="420"/>
      <c r="M203" s="420"/>
      <c r="N203" s="420"/>
      <c r="O203" s="420"/>
      <c r="P203" s="420"/>
      <c r="Q203" s="420"/>
      <c r="R203" s="420"/>
      <c r="S203" s="420"/>
      <c r="T203" s="420"/>
      <c r="U203" s="420"/>
      <c r="V203" s="420"/>
      <c r="W203" s="420"/>
      <c r="X203" s="420"/>
      <c r="Y203" s="420"/>
      <c r="Z203" s="383"/>
      <c r="AA203" s="386">
        <f t="shared" si="3"/>
        <v>0</v>
      </c>
    </row>
    <row r="204" spans="1:27" ht="15">
      <c r="A204" s="420"/>
      <c r="B204" s="420"/>
      <c r="C204" s="420"/>
      <c r="D204" s="420"/>
      <c r="E204" s="420"/>
      <c r="F204" s="420"/>
      <c r="G204" s="420"/>
      <c r="H204" s="420"/>
      <c r="I204" s="420"/>
      <c r="J204" s="420"/>
      <c r="K204" s="420"/>
      <c r="L204" s="420"/>
      <c r="M204" s="420"/>
      <c r="N204" s="420"/>
      <c r="O204" s="420"/>
      <c r="P204" s="420"/>
      <c r="Q204" s="420"/>
      <c r="R204" s="420"/>
      <c r="S204" s="420"/>
      <c r="T204" s="420"/>
      <c r="U204" s="420"/>
      <c r="V204" s="420"/>
      <c r="W204" s="420"/>
      <c r="X204" s="420"/>
      <c r="Y204" s="420"/>
      <c r="Z204" s="383"/>
      <c r="AA204" s="386">
        <f t="shared" si="3"/>
        <v>0</v>
      </c>
    </row>
    <row r="205" spans="1:27" ht="15">
      <c r="A205" s="420"/>
      <c r="B205" s="420"/>
      <c r="C205" s="420"/>
      <c r="D205" s="420"/>
      <c r="E205" s="420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383"/>
      <c r="AA205" s="386">
        <f t="shared" si="3"/>
        <v>0</v>
      </c>
    </row>
    <row r="206" spans="1:27" ht="15">
      <c r="A206" s="420"/>
      <c r="B206" s="420"/>
      <c r="C206" s="420"/>
      <c r="D206" s="420"/>
      <c r="E206" s="420"/>
      <c r="F206" s="420"/>
      <c r="G206" s="420"/>
      <c r="H206" s="420"/>
      <c r="I206" s="420"/>
      <c r="J206" s="420"/>
      <c r="K206" s="420"/>
      <c r="L206" s="420"/>
      <c r="M206" s="420"/>
      <c r="N206" s="420"/>
      <c r="O206" s="420"/>
      <c r="P206" s="420"/>
      <c r="Q206" s="420"/>
      <c r="R206" s="420"/>
      <c r="S206" s="420"/>
      <c r="T206" s="420"/>
      <c r="U206" s="420"/>
      <c r="V206" s="420"/>
      <c r="W206" s="420"/>
      <c r="X206" s="420"/>
      <c r="Y206" s="420"/>
      <c r="Z206" s="383"/>
      <c r="AA206" s="386">
        <f t="shared" si="3"/>
        <v>0</v>
      </c>
    </row>
    <row r="207" spans="1:27" ht="15">
      <c r="A207" s="420"/>
      <c r="B207" s="420"/>
      <c r="C207" s="420"/>
      <c r="D207" s="420"/>
      <c r="E207" s="420"/>
      <c r="F207" s="420"/>
      <c r="G207" s="420"/>
      <c r="H207" s="420"/>
      <c r="I207" s="420"/>
      <c r="J207" s="420"/>
      <c r="K207" s="420"/>
      <c r="L207" s="420"/>
      <c r="M207" s="420"/>
      <c r="N207" s="420"/>
      <c r="O207" s="420"/>
      <c r="P207" s="420"/>
      <c r="Q207" s="420"/>
      <c r="R207" s="420"/>
      <c r="S207" s="420"/>
      <c r="T207" s="420"/>
      <c r="U207" s="420"/>
      <c r="V207" s="420"/>
      <c r="W207" s="420"/>
      <c r="X207" s="420"/>
      <c r="Y207" s="420"/>
      <c r="Z207" s="383"/>
      <c r="AA207" s="386">
        <f t="shared" si="3"/>
        <v>0</v>
      </c>
    </row>
    <row r="208" spans="1:27" ht="15">
      <c r="A208" s="420"/>
      <c r="B208" s="420"/>
      <c r="C208" s="420"/>
      <c r="D208" s="420"/>
      <c r="E208" s="420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383"/>
      <c r="AA208" s="386">
        <f t="shared" si="3"/>
        <v>0</v>
      </c>
    </row>
    <row r="209" spans="1:27" ht="15">
      <c r="A209" s="420"/>
      <c r="B209" s="420"/>
      <c r="C209" s="420"/>
      <c r="D209" s="420"/>
      <c r="E209" s="420"/>
      <c r="F209" s="420"/>
      <c r="G209" s="420"/>
      <c r="H209" s="420"/>
      <c r="I209" s="420"/>
      <c r="J209" s="420"/>
      <c r="K209" s="420"/>
      <c r="L209" s="420"/>
      <c r="M209" s="420"/>
      <c r="N209" s="420"/>
      <c r="O209" s="420"/>
      <c r="P209" s="420"/>
      <c r="Q209" s="420"/>
      <c r="R209" s="420"/>
      <c r="S209" s="420"/>
      <c r="T209" s="420"/>
      <c r="U209" s="420"/>
      <c r="V209" s="420"/>
      <c r="W209" s="420"/>
      <c r="X209" s="420"/>
      <c r="Y209" s="420"/>
      <c r="Z209" s="383"/>
      <c r="AA209" s="386">
        <f t="shared" si="3"/>
        <v>0</v>
      </c>
    </row>
    <row r="210" spans="1:27" ht="15">
      <c r="A210" s="420"/>
      <c r="B210" s="420"/>
      <c r="C210" s="420"/>
      <c r="D210" s="420"/>
      <c r="E210" s="420"/>
      <c r="F210" s="420"/>
      <c r="G210" s="420"/>
      <c r="H210" s="420"/>
      <c r="I210" s="420"/>
      <c r="J210" s="420"/>
      <c r="K210" s="420"/>
      <c r="L210" s="420"/>
      <c r="M210" s="420"/>
      <c r="N210" s="420"/>
      <c r="O210" s="420"/>
      <c r="P210" s="420"/>
      <c r="Q210" s="420"/>
      <c r="R210" s="420"/>
      <c r="S210" s="420"/>
      <c r="T210" s="420"/>
      <c r="U210" s="420"/>
      <c r="V210" s="420"/>
      <c r="W210" s="420"/>
      <c r="X210" s="420"/>
      <c r="Y210" s="420"/>
      <c r="Z210" s="383"/>
      <c r="AA210" s="386">
        <f t="shared" si="3"/>
        <v>0</v>
      </c>
    </row>
    <row r="211" spans="1:27" ht="15">
      <c r="A211" s="420"/>
      <c r="B211" s="420"/>
      <c r="C211" s="420"/>
      <c r="D211" s="420"/>
      <c r="E211" s="420"/>
      <c r="F211" s="420"/>
      <c r="G211" s="420"/>
      <c r="H211" s="420"/>
      <c r="I211" s="420"/>
      <c r="J211" s="420"/>
      <c r="K211" s="420"/>
      <c r="L211" s="420"/>
      <c r="M211" s="420"/>
      <c r="N211" s="420"/>
      <c r="O211" s="420"/>
      <c r="P211" s="420"/>
      <c r="Q211" s="420"/>
      <c r="R211" s="420"/>
      <c r="S211" s="420"/>
      <c r="T211" s="420"/>
      <c r="U211" s="420"/>
      <c r="V211" s="420"/>
      <c r="W211" s="420"/>
      <c r="X211" s="420"/>
      <c r="Y211" s="420"/>
      <c r="Z211" s="383"/>
      <c r="AA211" s="386">
        <f t="shared" si="3"/>
        <v>0</v>
      </c>
    </row>
    <row r="212" spans="1:27" ht="15">
      <c r="A212" s="420"/>
      <c r="B212" s="420"/>
      <c r="C212" s="420"/>
      <c r="D212" s="420"/>
      <c r="E212" s="420"/>
      <c r="F212" s="420"/>
      <c r="G212" s="420"/>
      <c r="H212" s="420"/>
      <c r="I212" s="420"/>
      <c r="J212" s="420"/>
      <c r="K212" s="420"/>
      <c r="L212" s="420"/>
      <c r="M212" s="420"/>
      <c r="N212" s="420"/>
      <c r="O212" s="420"/>
      <c r="P212" s="420"/>
      <c r="Q212" s="420"/>
      <c r="R212" s="420"/>
      <c r="S212" s="420"/>
      <c r="T212" s="420"/>
      <c r="U212" s="420"/>
      <c r="V212" s="420"/>
      <c r="W212" s="420"/>
      <c r="X212" s="420"/>
      <c r="Y212" s="420"/>
      <c r="Z212" s="383"/>
      <c r="AA212" s="386">
        <f t="shared" si="3"/>
        <v>0</v>
      </c>
    </row>
    <row r="213" spans="1:27" ht="15">
      <c r="A213" s="420"/>
      <c r="B213" s="420"/>
      <c r="C213" s="420"/>
      <c r="D213" s="420"/>
      <c r="E213" s="420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20"/>
      <c r="W213" s="420"/>
      <c r="X213" s="420"/>
      <c r="Y213" s="420"/>
      <c r="Z213" s="383"/>
      <c r="AA213" s="386">
        <f t="shared" si="3"/>
        <v>0</v>
      </c>
    </row>
    <row r="214" spans="1:27" ht="15">
      <c r="A214" s="420"/>
      <c r="B214" s="420"/>
      <c r="C214" s="420"/>
      <c r="D214" s="420"/>
      <c r="E214" s="420"/>
      <c r="F214" s="420"/>
      <c r="G214" s="420"/>
      <c r="H214" s="420"/>
      <c r="I214" s="420"/>
      <c r="J214" s="420"/>
      <c r="K214" s="420"/>
      <c r="L214" s="420"/>
      <c r="M214" s="420"/>
      <c r="N214" s="420"/>
      <c r="O214" s="420"/>
      <c r="P214" s="420"/>
      <c r="Q214" s="420"/>
      <c r="R214" s="420"/>
      <c r="S214" s="420"/>
      <c r="T214" s="420"/>
      <c r="U214" s="420"/>
      <c r="V214" s="420"/>
      <c r="W214" s="420"/>
      <c r="X214" s="420"/>
      <c r="Y214" s="420"/>
      <c r="Z214" s="383"/>
      <c r="AA214" s="386">
        <f t="shared" si="3"/>
        <v>0</v>
      </c>
    </row>
    <row r="215" spans="1:27" ht="15">
      <c r="A215" s="420"/>
      <c r="B215" s="420"/>
      <c r="C215" s="420"/>
      <c r="D215" s="420"/>
      <c r="E215" s="420"/>
      <c r="F215" s="420"/>
      <c r="G215" s="420"/>
      <c r="H215" s="420"/>
      <c r="I215" s="420"/>
      <c r="J215" s="420"/>
      <c r="K215" s="420"/>
      <c r="L215" s="420"/>
      <c r="M215" s="420"/>
      <c r="N215" s="420"/>
      <c r="O215" s="420"/>
      <c r="P215" s="420"/>
      <c r="Q215" s="420"/>
      <c r="R215" s="420"/>
      <c r="S215" s="420"/>
      <c r="T215" s="420"/>
      <c r="U215" s="420"/>
      <c r="V215" s="420"/>
      <c r="W215" s="420"/>
      <c r="X215" s="420"/>
      <c r="Y215" s="420"/>
      <c r="Z215" s="383"/>
      <c r="AA215" s="386">
        <f t="shared" si="3"/>
        <v>0</v>
      </c>
    </row>
    <row r="216" spans="1:27" ht="15">
      <c r="A216" s="420"/>
      <c r="B216" s="420"/>
      <c r="C216" s="420"/>
      <c r="D216" s="420"/>
      <c r="E216" s="420"/>
      <c r="F216" s="420"/>
      <c r="G216" s="420"/>
      <c r="H216" s="420"/>
      <c r="I216" s="420"/>
      <c r="J216" s="420"/>
      <c r="K216" s="420"/>
      <c r="L216" s="420"/>
      <c r="M216" s="420"/>
      <c r="N216" s="420"/>
      <c r="O216" s="420"/>
      <c r="P216" s="420"/>
      <c r="Q216" s="420"/>
      <c r="R216" s="420"/>
      <c r="S216" s="420"/>
      <c r="T216" s="420"/>
      <c r="U216" s="420"/>
      <c r="V216" s="420"/>
      <c r="W216" s="420"/>
      <c r="X216" s="420"/>
      <c r="Y216" s="420"/>
      <c r="Z216" s="383"/>
      <c r="AA216" s="386">
        <f t="shared" si="3"/>
        <v>0</v>
      </c>
    </row>
    <row r="217" spans="1:27" ht="15">
      <c r="A217" s="420"/>
      <c r="B217" s="420"/>
      <c r="C217" s="420"/>
      <c r="D217" s="420"/>
      <c r="E217" s="420"/>
      <c r="F217" s="420"/>
      <c r="G217" s="420"/>
      <c r="H217" s="420"/>
      <c r="I217" s="420"/>
      <c r="J217" s="420"/>
      <c r="K217" s="420"/>
      <c r="L217" s="420"/>
      <c r="M217" s="420"/>
      <c r="N217" s="420"/>
      <c r="O217" s="420"/>
      <c r="P217" s="420"/>
      <c r="Q217" s="420"/>
      <c r="R217" s="420"/>
      <c r="S217" s="420"/>
      <c r="T217" s="420"/>
      <c r="U217" s="420"/>
      <c r="V217" s="420"/>
      <c r="W217" s="420"/>
      <c r="X217" s="420"/>
      <c r="Y217" s="420"/>
      <c r="Z217" s="383"/>
      <c r="AA217" s="386">
        <f t="shared" si="3"/>
        <v>0</v>
      </c>
    </row>
    <row r="218" spans="1:27" ht="15">
      <c r="A218" s="420"/>
      <c r="B218" s="420"/>
      <c r="C218" s="420"/>
      <c r="D218" s="420"/>
      <c r="E218" s="420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383"/>
      <c r="AA218" s="386">
        <f t="shared" si="3"/>
        <v>0</v>
      </c>
    </row>
    <row r="219" spans="1:27" ht="15">
      <c r="A219" s="420"/>
      <c r="B219" s="420"/>
      <c r="C219" s="420"/>
      <c r="D219" s="420"/>
      <c r="E219" s="420"/>
      <c r="F219" s="420"/>
      <c r="G219" s="420"/>
      <c r="H219" s="420"/>
      <c r="I219" s="420"/>
      <c r="J219" s="420"/>
      <c r="K219" s="420"/>
      <c r="L219" s="420"/>
      <c r="M219" s="420"/>
      <c r="N219" s="420"/>
      <c r="O219" s="420"/>
      <c r="P219" s="420"/>
      <c r="Q219" s="420"/>
      <c r="R219" s="420"/>
      <c r="S219" s="420"/>
      <c r="T219" s="420"/>
      <c r="U219" s="420"/>
      <c r="V219" s="420"/>
      <c r="W219" s="420"/>
      <c r="X219" s="420"/>
      <c r="Y219" s="420"/>
      <c r="Z219" s="383"/>
      <c r="AA219" s="386">
        <f t="shared" si="3"/>
        <v>0</v>
      </c>
    </row>
    <row r="220" spans="1:27" ht="15">
      <c r="A220" s="420"/>
      <c r="B220" s="420"/>
      <c r="C220" s="420"/>
      <c r="D220" s="420"/>
      <c r="E220" s="420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383"/>
      <c r="AA220" s="386">
        <f t="shared" si="3"/>
        <v>0</v>
      </c>
    </row>
    <row r="221" spans="1:27" ht="15">
      <c r="A221" s="420"/>
      <c r="B221" s="420"/>
      <c r="C221" s="420"/>
      <c r="D221" s="420"/>
      <c r="E221" s="420"/>
      <c r="F221" s="420"/>
      <c r="G221" s="420"/>
      <c r="H221" s="420"/>
      <c r="I221" s="420"/>
      <c r="J221" s="420"/>
      <c r="K221" s="420"/>
      <c r="L221" s="420"/>
      <c r="M221" s="420"/>
      <c r="N221" s="420"/>
      <c r="O221" s="420"/>
      <c r="P221" s="420"/>
      <c r="Q221" s="420"/>
      <c r="R221" s="420"/>
      <c r="S221" s="420"/>
      <c r="T221" s="420"/>
      <c r="U221" s="420"/>
      <c r="V221" s="420"/>
      <c r="W221" s="420"/>
      <c r="X221" s="420"/>
      <c r="Y221" s="420"/>
      <c r="Z221" s="383"/>
      <c r="AA221" s="386">
        <f t="shared" si="3"/>
        <v>0</v>
      </c>
    </row>
    <row r="222" spans="1:27" ht="15">
      <c r="A222" s="420"/>
      <c r="B222" s="420"/>
      <c r="C222" s="420"/>
      <c r="D222" s="420"/>
      <c r="E222" s="420"/>
      <c r="F222" s="420"/>
      <c r="G222" s="420"/>
      <c r="H222" s="420"/>
      <c r="I222" s="420"/>
      <c r="J222" s="420"/>
      <c r="K222" s="420"/>
      <c r="L222" s="420"/>
      <c r="M222" s="420"/>
      <c r="N222" s="420"/>
      <c r="O222" s="420"/>
      <c r="P222" s="420"/>
      <c r="Q222" s="420"/>
      <c r="R222" s="420"/>
      <c r="S222" s="420"/>
      <c r="T222" s="420"/>
      <c r="U222" s="420"/>
      <c r="V222" s="420"/>
      <c r="W222" s="420"/>
      <c r="X222" s="420"/>
      <c r="Y222" s="420"/>
      <c r="Z222" s="383"/>
      <c r="AA222" s="386">
        <f t="shared" si="3"/>
        <v>0</v>
      </c>
    </row>
    <row r="223" spans="1:27" ht="15">
      <c r="A223" s="420"/>
      <c r="B223" s="420"/>
      <c r="C223" s="420"/>
      <c r="D223" s="420"/>
      <c r="E223" s="420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383"/>
      <c r="AA223" s="386">
        <f t="shared" si="3"/>
        <v>0</v>
      </c>
    </row>
    <row r="224" spans="1:27" ht="15">
      <c r="A224" s="420"/>
      <c r="B224" s="420"/>
      <c r="C224" s="420"/>
      <c r="D224" s="420"/>
      <c r="E224" s="420"/>
      <c r="F224" s="420"/>
      <c r="G224" s="420"/>
      <c r="H224" s="420"/>
      <c r="I224" s="420"/>
      <c r="J224" s="420"/>
      <c r="K224" s="420"/>
      <c r="L224" s="420"/>
      <c r="M224" s="420"/>
      <c r="N224" s="420"/>
      <c r="O224" s="420"/>
      <c r="P224" s="420"/>
      <c r="Q224" s="420"/>
      <c r="R224" s="420"/>
      <c r="S224" s="420"/>
      <c r="T224" s="420"/>
      <c r="U224" s="420"/>
      <c r="V224" s="420"/>
      <c r="W224" s="420"/>
      <c r="X224" s="420"/>
      <c r="Y224" s="420"/>
      <c r="Z224" s="383"/>
      <c r="AA224" s="386">
        <f t="shared" si="3"/>
        <v>0</v>
      </c>
    </row>
    <row r="225" spans="1:27" ht="15">
      <c r="A225" s="420"/>
      <c r="B225" s="420"/>
      <c r="C225" s="420"/>
      <c r="D225" s="420"/>
      <c r="E225" s="420"/>
      <c r="F225" s="420"/>
      <c r="G225" s="420"/>
      <c r="H225" s="420"/>
      <c r="I225" s="420"/>
      <c r="J225" s="420"/>
      <c r="K225" s="420"/>
      <c r="L225" s="420"/>
      <c r="M225" s="420"/>
      <c r="N225" s="420"/>
      <c r="O225" s="420"/>
      <c r="P225" s="420"/>
      <c r="Q225" s="420"/>
      <c r="R225" s="420"/>
      <c r="S225" s="420"/>
      <c r="T225" s="420"/>
      <c r="U225" s="420"/>
      <c r="V225" s="420"/>
      <c r="W225" s="420"/>
      <c r="X225" s="420"/>
      <c r="Y225" s="420"/>
      <c r="Z225" s="383"/>
      <c r="AA225" s="386">
        <f t="shared" si="3"/>
        <v>0</v>
      </c>
    </row>
    <row r="226" spans="1:27" ht="15">
      <c r="A226" s="420"/>
      <c r="B226" s="420"/>
      <c r="C226" s="420"/>
      <c r="D226" s="420"/>
      <c r="E226" s="420"/>
      <c r="F226" s="420"/>
      <c r="G226" s="420"/>
      <c r="H226" s="420"/>
      <c r="I226" s="420"/>
      <c r="J226" s="420"/>
      <c r="K226" s="420"/>
      <c r="L226" s="420"/>
      <c r="M226" s="420"/>
      <c r="N226" s="420"/>
      <c r="O226" s="420"/>
      <c r="P226" s="420"/>
      <c r="Q226" s="420"/>
      <c r="R226" s="420"/>
      <c r="S226" s="420"/>
      <c r="T226" s="420"/>
      <c r="U226" s="420"/>
      <c r="V226" s="420"/>
      <c r="W226" s="420"/>
      <c r="X226" s="420"/>
      <c r="Y226" s="420"/>
      <c r="Z226" s="383"/>
      <c r="AA226" s="386">
        <f t="shared" si="3"/>
        <v>0</v>
      </c>
    </row>
    <row r="227" spans="1:27" ht="15">
      <c r="A227" s="420"/>
      <c r="B227" s="420"/>
      <c r="C227" s="420"/>
      <c r="D227" s="420"/>
      <c r="E227" s="420"/>
      <c r="F227" s="420"/>
      <c r="G227" s="420"/>
      <c r="H227" s="420"/>
      <c r="I227" s="420"/>
      <c r="J227" s="420"/>
      <c r="K227" s="420"/>
      <c r="L227" s="420"/>
      <c r="M227" s="420"/>
      <c r="N227" s="420"/>
      <c r="O227" s="420"/>
      <c r="P227" s="420"/>
      <c r="Q227" s="420"/>
      <c r="R227" s="420"/>
      <c r="S227" s="420"/>
      <c r="T227" s="420"/>
      <c r="U227" s="420"/>
      <c r="V227" s="420"/>
      <c r="W227" s="420"/>
      <c r="X227" s="420"/>
      <c r="Y227" s="420"/>
      <c r="Z227" s="383"/>
      <c r="AA227" s="386">
        <f t="shared" si="3"/>
        <v>0</v>
      </c>
    </row>
    <row r="228" spans="1:27" ht="15">
      <c r="A228" s="420"/>
      <c r="B228" s="420"/>
      <c r="C228" s="420"/>
      <c r="D228" s="420"/>
      <c r="E228" s="420"/>
      <c r="F228" s="420"/>
      <c r="G228" s="420"/>
      <c r="H228" s="420"/>
      <c r="I228" s="420"/>
      <c r="J228" s="420"/>
      <c r="K228" s="420"/>
      <c r="L228" s="420"/>
      <c r="M228" s="420"/>
      <c r="N228" s="420"/>
      <c r="O228" s="420"/>
      <c r="P228" s="420"/>
      <c r="Q228" s="420"/>
      <c r="R228" s="420"/>
      <c r="S228" s="420"/>
      <c r="T228" s="420"/>
      <c r="U228" s="420"/>
      <c r="V228" s="420"/>
      <c r="W228" s="420"/>
      <c r="X228" s="420"/>
      <c r="Y228" s="420"/>
      <c r="Z228" s="383"/>
      <c r="AA228" s="386">
        <f t="shared" si="3"/>
        <v>0</v>
      </c>
    </row>
    <row r="229" spans="1:27" ht="15">
      <c r="A229" s="420"/>
      <c r="B229" s="420"/>
      <c r="C229" s="420"/>
      <c r="D229" s="420"/>
      <c r="E229" s="420"/>
      <c r="F229" s="420"/>
      <c r="G229" s="420"/>
      <c r="H229" s="420"/>
      <c r="I229" s="420"/>
      <c r="J229" s="420"/>
      <c r="K229" s="420"/>
      <c r="L229" s="420"/>
      <c r="M229" s="420"/>
      <c r="N229" s="420"/>
      <c r="O229" s="420"/>
      <c r="P229" s="420"/>
      <c r="Q229" s="420"/>
      <c r="R229" s="420"/>
      <c r="S229" s="420"/>
      <c r="T229" s="420"/>
      <c r="U229" s="420"/>
      <c r="V229" s="420"/>
      <c r="W229" s="420"/>
      <c r="X229" s="420"/>
      <c r="Y229" s="420"/>
      <c r="Z229" s="383"/>
      <c r="AA229" s="386">
        <f t="shared" si="3"/>
        <v>0</v>
      </c>
    </row>
    <row r="230" spans="1:27" ht="15">
      <c r="A230" s="420"/>
      <c r="B230" s="420"/>
      <c r="C230" s="420"/>
      <c r="D230" s="420"/>
      <c r="E230" s="420"/>
      <c r="F230" s="420"/>
      <c r="G230" s="420"/>
      <c r="H230" s="420"/>
      <c r="I230" s="420"/>
      <c r="J230" s="420"/>
      <c r="K230" s="420"/>
      <c r="L230" s="420"/>
      <c r="M230" s="420"/>
      <c r="N230" s="420"/>
      <c r="O230" s="420"/>
      <c r="P230" s="420"/>
      <c r="Q230" s="420"/>
      <c r="R230" s="420"/>
      <c r="S230" s="420"/>
      <c r="T230" s="420"/>
      <c r="U230" s="420"/>
      <c r="V230" s="420"/>
      <c r="W230" s="420"/>
      <c r="X230" s="420"/>
      <c r="Y230" s="420"/>
      <c r="Z230" s="383"/>
      <c r="AA230" s="386">
        <f t="shared" si="3"/>
        <v>0</v>
      </c>
    </row>
    <row r="231" spans="1:27" ht="15">
      <c r="A231" s="420"/>
      <c r="B231" s="420"/>
      <c r="C231" s="420"/>
      <c r="D231" s="420"/>
      <c r="E231" s="420"/>
      <c r="F231" s="420"/>
      <c r="G231" s="420"/>
      <c r="H231" s="420"/>
      <c r="I231" s="420"/>
      <c r="J231" s="420"/>
      <c r="K231" s="420"/>
      <c r="L231" s="420"/>
      <c r="M231" s="420"/>
      <c r="N231" s="420"/>
      <c r="O231" s="420"/>
      <c r="P231" s="420"/>
      <c r="Q231" s="420"/>
      <c r="R231" s="420"/>
      <c r="S231" s="420"/>
      <c r="T231" s="420"/>
      <c r="U231" s="420"/>
      <c r="V231" s="420"/>
      <c r="W231" s="420"/>
      <c r="X231" s="420"/>
      <c r="Y231" s="420"/>
      <c r="Z231" s="383"/>
      <c r="AA231" s="386">
        <f t="shared" si="3"/>
        <v>0</v>
      </c>
    </row>
    <row r="232" spans="1:27" ht="15">
      <c r="A232" s="420"/>
      <c r="B232" s="420"/>
      <c r="C232" s="420"/>
      <c r="D232" s="420"/>
      <c r="E232" s="420"/>
      <c r="F232" s="420"/>
      <c r="G232" s="420"/>
      <c r="H232" s="420"/>
      <c r="I232" s="420"/>
      <c r="J232" s="420"/>
      <c r="K232" s="420"/>
      <c r="L232" s="420"/>
      <c r="M232" s="420"/>
      <c r="N232" s="420"/>
      <c r="O232" s="420"/>
      <c r="P232" s="420"/>
      <c r="Q232" s="420"/>
      <c r="R232" s="420"/>
      <c r="S232" s="420"/>
      <c r="T232" s="420"/>
      <c r="U232" s="420"/>
      <c r="V232" s="420"/>
      <c r="W232" s="420"/>
      <c r="X232" s="420"/>
      <c r="Y232" s="420"/>
      <c r="Z232" s="383"/>
      <c r="AA232" s="386">
        <f t="shared" si="3"/>
        <v>0</v>
      </c>
    </row>
    <row r="233" spans="1:27" ht="15">
      <c r="A233" s="420"/>
      <c r="B233" s="420"/>
      <c r="C233" s="420"/>
      <c r="D233" s="420"/>
      <c r="E233" s="420"/>
      <c r="F233" s="420"/>
      <c r="G233" s="420"/>
      <c r="H233" s="420"/>
      <c r="I233" s="420"/>
      <c r="J233" s="420"/>
      <c r="K233" s="420"/>
      <c r="L233" s="420"/>
      <c r="M233" s="420"/>
      <c r="N233" s="420"/>
      <c r="O233" s="420"/>
      <c r="P233" s="420"/>
      <c r="Q233" s="420"/>
      <c r="R233" s="420"/>
      <c r="S233" s="420"/>
      <c r="T233" s="420"/>
      <c r="U233" s="420"/>
      <c r="V233" s="420"/>
      <c r="W233" s="420"/>
      <c r="X233" s="420"/>
      <c r="Y233" s="420"/>
      <c r="Z233" s="383"/>
      <c r="AA233" s="386">
        <f t="shared" si="3"/>
        <v>0</v>
      </c>
    </row>
    <row r="234" spans="1:27" ht="15">
      <c r="A234" s="420"/>
      <c r="B234" s="420"/>
      <c r="C234" s="420"/>
      <c r="D234" s="420"/>
      <c r="E234" s="420"/>
      <c r="F234" s="420"/>
      <c r="G234" s="420"/>
      <c r="H234" s="420"/>
      <c r="I234" s="420"/>
      <c r="J234" s="420"/>
      <c r="K234" s="420"/>
      <c r="L234" s="420"/>
      <c r="M234" s="420"/>
      <c r="N234" s="420"/>
      <c r="O234" s="420"/>
      <c r="P234" s="420"/>
      <c r="Q234" s="420"/>
      <c r="R234" s="420"/>
      <c r="S234" s="420"/>
      <c r="T234" s="420"/>
      <c r="U234" s="420"/>
      <c r="V234" s="420"/>
      <c r="W234" s="420"/>
      <c r="X234" s="420"/>
      <c r="Y234" s="420"/>
      <c r="Z234" s="383"/>
      <c r="AA234" s="386">
        <f t="shared" si="3"/>
        <v>0</v>
      </c>
    </row>
    <row r="235" spans="1:27" ht="15">
      <c r="A235" s="420"/>
      <c r="B235" s="420"/>
      <c r="C235" s="420"/>
      <c r="D235" s="420"/>
      <c r="E235" s="420"/>
      <c r="F235" s="420"/>
      <c r="G235" s="420"/>
      <c r="H235" s="420"/>
      <c r="I235" s="420"/>
      <c r="J235" s="420"/>
      <c r="K235" s="420"/>
      <c r="L235" s="420"/>
      <c r="M235" s="420"/>
      <c r="N235" s="420"/>
      <c r="O235" s="420"/>
      <c r="P235" s="420"/>
      <c r="Q235" s="420"/>
      <c r="R235" s="420"/>
      <c r="S235" s="420"/>
      <c r="T235" s="420"/>
      <c r="U235" s="420"/>
      <c r="V235" s="420"/>
      <c r="W235" s="420"/>
      <c r="X235" s="420"/>
      <c r="Y235" s="420"/>
      <c r="Z235" s="383"/>
      <c r="AA235" s="386">
        <f t="shared" si="3"/>
        <v>0</v>
      </c>
    </row>
    <row r="236" spans="1:27" ht="15">
      <c r="A236" s="420"/>
      <c r="B236" s="420"/>
      <c r="C236" s="420"/>
      <c r="D236" s="420"/>
      <c r="E236" s="420"/>
      <c r="F236" s="420"/>
      <c r="G236" s="420"/>
      <c r="H236" s="420"/>
      <c r="I236" s="420"/>
      <c r="J236" s="420"/>
      <c r="K236" s="420"/>
      <c r="L236" s="420"/>
      <c r="M236" s="420"/>
      <c r="N236" s="420"/>
      <c r="O236" s="420"/>
      <c r="P236" s="420"/>
      <c r="Q236" s="420"/>
      <c r="R236" s="420"/>
      <c r="S236" s="420"/>
      <c r="T236" s="420"/>
      <c r="U236" s="420"/>
      <c r="V236" s="420"/>
      <c r="W236" s="420"/>
      <c r="X236" s="420"/>
      <c r="Y236" s="420"/>
      <c r="Z236" s="383"/>
      <c r="AA236" s="386">
        <f t="shared" si="3"/>
        <v>0</v>
      </c>
    </row>
    <row r="237" spans="1:27" ht="15">
      <c r="A237" s="420"/>
      <c r="B237" s="420"/>
      <c r="C237" s="420"/>
      <c r="D237" s="420"/>
      <c r="E237" s="420"/>
      <c r="F237" s="420"/>
      <c r="G237" s="420"/>
      <c r="H237" s="420"/>
      <c r="I237" s="420"/>
      <c r="J237" s="420"/>
      <c r="K237" s="420"/>
      <c r="L237" s="420"/>
      <c r="M237" s="420"/>
      <c r="N237" s="420"/>
      <c r="O237" s="420"/>
      <c r="P237" s="420"/>
      <c r="Q237" s="420"/>
      <c r="R237" s="420"/>
      <c r="S237" s="420"/>
      <c r="T237" s="420"/>
      <c r="U237" s="420"/>
      <c r="V237" s="420"/>
      <c r="W237" s="420"/>
      <c r="X237" s="420"/>
      <c r="Y237" s="420"/>
      <c r="Z237" s="383"/>
      <c r="AA237" s="386">
        <f t="shared" si="3"/>
        <v>0</v>
      </c>
    </row>
    <row r="238" spans="1:27" ht="15">
      <c r="A238" s="420"/>
      <c r="B238" s="420"/>
      <c r="C238" s="420"/>
      <c r="D238" s="420"/>
      <c r="E238" s="420"/>
      <c r="F238" s="420"/>
      <c r="G238" s="420"/>
      <c r="H238" s="420"/>
      <c r="I238" s="420"/>
      <c r="J238" s="420"/>
      <c r="K238" s="420"/>
      <c r="L238" s="420"/>
      <c r="M238" s="420"/>
      <c r="N238" s="420"/>
      <c r="O238" s="420"/>
      <c r="P238" s="420"/>
      <c r="Q238" s="420"/>
      <c r="R238" s="420"/>
      <c r="S238" s="420"/>
      <c r="T238" s="420"/>
      <c r="U238" s="420"/>
      <c r="V238" s="420"/>
      <c r="W238" s="420"/>
      <c r="X238" s="420"/>
      <c r="Y238" s="420"/>
      <c r="Z238" s="383"/>
      <c r="AA238" s="386">
        <f t="shared" si="3"/>
        <v>0</v>
      </c>
    </row>
    <row r="239" spans="1:27" ht="15">
      <c r="A239" s="420"/>
      <c r="B239" s="420"/>
      <c r="C239" s="420"/>
      <c r="D239" s="420"/>
      <c r="E239" s="420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383"/>
      <c r="AA239" s="386">
        <f t="shared" si="3"/>
        <v>0</v>
      </c>
    </row>
    <row r="240" spans="1:27" ht="15">
      <c r="A240" s="420"/>
      <c r="B240" s="420"/>
      <c r="C240" s="420"/>
      <c r="D240" s="420"/>
      <c r="E240" s="420"/>
      <c r="F240" s="420"/>
      <c r="G240" s="420"/>
      <c r="H240" s="420"/>
      <c r="I240" s="420"/>
      <c r="J240" s="420"/>
      <c r="K240" s="420"/>
      <c r="L240" s="420"/>
      <c r="M240" s="420"/>
      <c r="N240" s="420"/>
      <c r="O240" s="420"/>
      <c r="P240" s="420"/>
      <c r="Q240" s="420"/>
      <c r="R240" s="420"/>
      <c r="S240" s="420"/>
      <c r="T240" s="420"/>
      <c r="U240" s="420"/>
      <c r="V240" s="420"/>
      <c r="W240" s="420"/>
      <c r="X240" s="420"/>
      <c r="Y240" s="420"/>
      <c r="Z240" s="383"/>
      <c r="AA240" s="386">
        <f t="shared" si="3"/>
        <v>0</v>
      </c>
    </row>
    <row r="241" spans="1:27" ht="15">
      <c r="A241" s="420"/>
      <c r="B241" s="420"/>
      <c r="C241" s="420"/>
      <c r="D241" s="420"/>
      <c r="E241" s="420"/>
      <c r="F241" s="420"/>
      <c r="G241" s="420"/>
      <c r="H241" s="420"/>
      <c r="I241" s="420"/>
      <c r="J241" s="420"/>
      <c r="K241" s="420"/>
      <c r="L241" s="420"/>
      <c r="M241" s="420"/>
      <c r="N241" s="420"/>
      <c r="O241" s="420"/>
      <c r="P241" s="420"/>
      <c r="Q241" s="420"/>
      <c r="R241" s="420"/>
      <c r="S241" s="420"/>
      <c r="T241" s="420"/>
      <c r="U241" s="420"/>
      <c r="V241" s="420"/>
      <c r="W241" s="420"/>
      <c r="X241" s="420"/>
      <c r="Y241" s="420"/>
      <c r="Z241" s="383"/>
      <c r="AA241" s="386">
        <f t="shared" si="3"/>
        <v>0</v>
      </c>
    </row>
    <row r="242" spans="1:27" ht="15">
      <c r="A242" s="420"/>
      <c r="B242" s="420"/>
      <c r="C242" s="420"/>
      <c r="D242" s="420"/>
      <c r="E242" s="420"/>
      <c r="F242" s="420"/>
      <c r="G242" s="420"/>
      <c r="H242" s="420"/>
      <c r="I242" s="420"/>
      <c r="J242" s="420"/>
      <c r="K242" s="420"/>
      <c r="L242" s="420"/>
      <c r="M242" s="420"/>
      <c r="N242" s="420"/>
      <c r="O242" s="420"/>
      <c r="P242" s="420"/>
      <c r="Q242" s="420"/>
      <c r="R242" s="420"/>
      <c r="S242" s="420"/>
      <c r="T242" s="420"/>
      <c r="U242" s="420"/>
      <c r="V242" s="420"/>
      <c r="W242" s="420"/>
      <c r="X242" s="420"/>
      <c r="Y242" s="420"/>
      <c r="Z242" s="383"/>
      <c r="AA242" s="386">
        <f t="shared" si="3"/>
        <v>0</v>
      </c>
    </row>
    <row r="243" spans="1:27" ht="15">
      <c r="A243" s="420"/>
      <c r="B243" s="420"/>
      <c r="C243" s="420"/>
      <c r="D243" s="420"/>
      <c r="E243" s="420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383"/>
      <c r="AA243" s="386">
        <f t="shared" si="3"/>
        <v>0</v>
      </c>
    </row>
    <row r="244" spans="1:27" ht="15">
      <c r="A244" s="420"/>
      <c r="B244" s="420"/>
      <c r="C244" s="420"/>
      <c r="D244" s="420"/>
      <c r="E244" s="420"/>
      <c r="F244" s="420"/>
      <c r="G244" s="420"/>
      <c r="H244" s="420"/>
      <c r="I244" s="420"/>
      <c r="J244" s="420"/>
      <c r="K244" s="420"/>
      <c r="L244" s="420"/>
      <c r="M244" s="420"/>
      <c r="N244" s="420"/>
      <c r="O244" s="420"/>
      <c r="P244" s="420"/>
      <c r="Q244" s="420"/>
      <c r="R244" s="420"/>
      <c r="S244" s="420"/>
      <c r="T244" s="420"/>
      <c r="U244" s="420"/>
      <c r="V244" s="420"/>
      <c r="W244" s="420"/>
      <c r="X244" s="420"/>
      <c r="Y244" s="420"/>
      <c r="Z244" s="383"/>
      <c r="AA244" s="386">
        <f t="shared" si="3"/>
        <v>0</v>
      </c>
    </row>
    <row r="245" spans="1:27" ht="15">
      <c r="A245" s="420"/>
      <c r="B245" s="420"/>
      <c r="C245" s="420"/>
      <c r="D245" s="420"/>
      <c r="E245" s="420"/>
      <c r="F245" s="420"/>
      <c r="G245" s="420"/>
      <c r="H245" s="420"/>
      <c r="I245" s="420"/>
      <c r="J245" s="420"/>
      <c r="K245" s="420"/>
      <c r="L245" s="420"/>
      <c r="M245" s="420"/>
      <c r="N245" s="420"/>
      <c r="O245" s="420"/>
      <c r="P245" s="420"/>
      <c r="Q245" s="420"/>
      <c r="R245" s="420"/>
      <c r="S245" s="420"/>
      <c r="T245" s="420"/>
      <c r="U245" s="420"/>
      <c r="V245" s="420"/>
      <c r="W245" s="420"/>
      <c r="X245" s="420"/>
      <c r="Y245" s="420"/>
      <c r="Z245" s="383"/>
      <c r="AA245" s="386">
        <f t="shared" si="3"/>
        <v>0</v>
      </c>
    </row>
    <row r="246" spans="1:27" ht="15">
      <c r="A246" s="420"/>
      <c r="B246" s="420"/>
      <c r="C246" s="420"/>
      <c r="D246" s="420"/>
      <c r="E246" s="420"/>
      <c r="F246" s="420"/>
      <c r="G246" s="420"/>
      <c r="H246" s="420"/>
      <c r="I246" s="420"/>
      <c r="J246" s="420"/>
      <c r="K246" s="420"/>
      <c r="L246" s="420"/>
      <c r="M246" s="420"/>
      <c r="N246" s="420"/>
      <c r="O246" s="420"/>
      <c r="P246" s="420"/>
      <c r="Q246" s="420"/>
      <c r="R246" s="420"/>
      <c r="S246" s="420"/>
      <c r="T246" s="420"/>
      <c r="U246" s="420"/>
      <c r="V246" s="420"/>
      <c r="W246" s="420"/>
      <c r="X246" s="420"/>
      <c r="Y246" s="420"/>
      <c r="Z246" s="383"/>
      <c r="AA246" s="386">
        <f t="shared" si="3"/>
        <v>0</v>
      </c>
    </row>
    <row r="247" spans="1:27" ht="15">
      <c r="A247" s="420"/>
      <c r="B247" s="420"/>
      <c r="C247" s="420"/>
      <c r="D247" s="420"/>
      <c r="E247" s="420"/>
      <c r="F247" s="420"/>
      <c r="G247" s="420"/>
      <c r="H247" s="420"/>
      <c r="I247" s="420"/>
      <c r="J247" s="420"/>
      <c r="K247" s="420"/>
      <c r="L247" s="420"/>
      <c r="M247" s="420"/>
      <c r="N247" s="420"/>
      <c r="O247" s="420"/>
      <c r="P247" s="420"/>
      <c r="Q247" s="420"/>
      <c r="R247" s="420"/>
      <c r="S247" s="420"/>
      <c r="T247" s="420"/>
      <c r="U247" s="420"/>
      <c r="V247" s="420"/>
      <c r="W247" s="420"/>
      <c r="X247" s="420"/>
      <c r="Y247" s="420"/>
      <c r="Z247" s="383"/>
      <c r="AA247" s="386">
        <f t="shared" si="3"/>
        <v>0</v>
      </c>
    </row>
    <row r="248" spans="1:27" ht="15">
      <c r="A248" s="420"/>
      <c r="B248" s="420"/>
      <c r="C248" s="420"/>
      <c r="D248" s="420"/>
      <c r="E248" s="420"/>
      <c r="F248" s="420"/>
      <c r="G248" s="420"/>
      <c r="H248" s="420"/>
      <c r="I248" s="420"/>
      <c r="J248" s="420"/>
      <c r="K248" s="420"/>
      <c r="L248" s="420"/>
      <c r="M248" s="420"/>
      <c r="N248" s="420"/>
      <c r="O248" s="420"/>
      <c r="P248" s="420"/>
      <c r="Q248" s="420"/>
      <c r="R248" s="420"/>
      <c r="S248" s="420"/>
      <c r="T248" s="420"/>
      <c r="U248" s="420"/>
      <c r="V248" s="420"/>
      <c r="W248" s="420"/>
      <c r="X248" s="420"/>
      <c r="Y248" s="420"/>
      <c r="Z248" s="383"/>
      <c r="AA248" s="386">
        <f t="shared" si="3"/>
        <v>0</v>
      </c>
    </row>
    <row r="249" spans="1:27" ht="15">
      <c r="A249" s="420"/>
      <c r="B249" s="420"/>
      <c r="C249" s="420"/>
      <c r="D249" s="420"/>
      <c r="E249" s="420"/>
      <c r="F249" s="420"/>
      <c r="G249" s="420"/>
      <c r="H249" s="420"/>
      <c r="I249" s="420"/>
      <c r="J249" s="420"/>
      <c r="K249" s="420"/>
      <c r="L249" s="420"/>
      <c r="M249" s="420"/>
      <c r="N249" s="420"/>
      <c r="O249" s="420"/>
      <c r="P249" s="420"/>
      <c r="Q249" s="420"/>
      <c r="R249" s="420"/>
      <c r="S249" s="420"/>
      <c r="T249" s="420"/>
      <c r="U249" s="420"/>
      <c r="V249" s="420"/>
      <c r="W249" s="420"/>
      <c r="X249" s="420"/>
      <c r="Y249" s="420"/>
      <c r="Z249" s="383"/>
      <c r="AA249" s="386">
        <f t="shared" si="3"/>
        <v>0</v>
      </c>
    </row>
    <row r="250" spans="1:27" ht="15">
      <c r="A250" s="420"/>
      <c r="B250" s="420"/>
      <c r="C250" s="420"/>
      <c r="D250" s="420"/>
      <c r="E250" s="420"/>
      <c r="F250" s="420"/>
      <c r="G250" s="420"/>
      <c r="H250" s="420"/>
      <c r="I250" s="420"/>
      <c r="J250" s="420"/>
      <c r="K250" s="420"/>
      <c r="L250" s="420"/>
      <c r="M250" s="420"/>
      <c r="N250" s="420"/>
      <c r="O250" s="420"/>
      <c r="P250" s="420"/>
      <c r="Q250" s="420"/>
      <c r="R250" s="420"/>
      <c r="S250" s="420"/>
      <c r="T250" s="420"/>
      <c r="U250" s="420"/>
      <c r="V250" s="420"/>
      <c r="W250" s="420"/>
      <c r="X250" s="420"/>
      <c r="Y250" s="420"/>
      <c r="Z250" s="383"/>
      <c r="AA250" s="386">
        <f t="shared" si="3"/>
        <v>0</v>
      </c>
    </row>
    <row r="251" spans="1:27" ht="15">
      <c r="A251" s="420"/>
      <c r="B251" s="420"/>
      <c r="C251" s="420"/>
      <c r="D251" s="420"/>
      <c r="E251" s="420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383"/>
      <c r="AA251" s="386">
        <f t="shared" si="3"/>
        <v>0</v>
      </c>
    </row>
    <row r="252" spans="1:27" ht="15">
      <c r="A252" s="420"/>
      <c r="B252" s="420"/>
      <c r="C252" s="420"/>
      <c r="D252" s="420"/>
      <c r="E252" s="420"/>
      <c r="F252" s="420"/>
      <c r="G252" s="420"/>
      <c r="H252" s="420"/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383"/>
      <c r="AA252" s="386">
        <f t="shared" si="3"/>
        <v>0</v>
      </c>
    </row>
    <row r="253" spans="1:27" ht="15">
      <c r="A253" s="420"/>
      <c r="B253" s="420"/>
      <c r="C253" s="420"/>
      <c r="D253" s="420"/>
      <c r="E253" s="420"/>
      <c r="F253" s="420"/>
      <c r="G253" s="420"/>
      <c r="H253" s="420"/>
      <c r="I253" s="420"/>
      <c r="J253" s="420"/>
      <c r="K253" s="420"/>
      <c r="L253" s="420"/>
      <c r="M253" s="420"/>
      <c r="N253" s="420"/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  <c r="Y253" s="420"/>
      <c r="Z253" s="383"/>
      <c r="AA253" s="386">
        <f t="shared" si="3"/>
        <v>0</v>
      </c>
    </row>
    <row r="254" spans="1:27" ht="15">
      <c r="A254" s="420"/>
      <c r="B254" s="420"/>
      <c r="C254" s="420"/>
      <c r="D254" s="420"/>
      <c r="E254" s="420"/>
      <c r="F254" s="420"/>
      <c r="G254" s="420"/>
      <c r="H254" s="420"/>
      <c r="I254" s="420"/>
      <c r="J254" s="420"/>
      <c r="K254" s="420"/>
      <c r="L254" s="420"/>
      <c r="M254" s="420"/>
      <c r="N254" s="420"/>
      <c r="O254" s="420"/>
      <c r="P254" s="420"/>
      <c r="Q254" s="420"/>
      <c r="R254" s="420"/>
      <c r="S254" s="420"/>
      <c r="T254" s="420"/>
      <c r="U254" s="420"/>
      <c r="V254" s="420"/>
      <c r="W254" s="420"/>
      <c r="X254" s="420"/>
      <c r="Y254" s="420"/>
      <c r="Z254" s="383"/>
      <c r="AA254" s="386">
        <f t="shared" si="3"/>
        <v>0</v>
      </c>
    </row>
    <row r="255" spans="1:27" ht="15">
      <c r="A255" s="420"/>
      <c r="B255" s="420"/>
      <c r="C255" s="420"/>
      <c r="D255" s="420"/>
      <c r="E255" s="420"/>
      <c r="F255" s="420"/>
      <c r="G255" s="420"/>
      <c r="H255" s="420"/>
      <c r="I255" s="420"/>
      <c r="J255" s="420"/>
      <c r="K255" s="420"/>
      <c r="L255" s="420"/>
      <c r="M255" s="420"/>
      <c r="N255" s="420"/>
      <c r="O255" s="420"/>
      <c r="P255" s="420"/>
      <c r="Q255" s="420"/>
      <c r="R255" s="420"/>
      <c r="S255" s="420"/>
      <c r="T255" s="420"/>
      <c r="U255" s="420"/>
      <c r="V255" s="420"/>
      <c r="W255" s="420"/>
      <c r="X255" s="420"/>
      <c r="Y255" s="420"/>
      <c r="Z255" s="383"/>
      <c r="AA255" s="386">
        <f t="shared" si="3"/>
        <v>0</v>
      </c>
    </row>
    <row r="256" spans="1:27" ht="15">
      <c r="A256" s="420"/>
      <c r="B256" s="420"/>
      <c r="C256" s="420"/>
      <c r="D256" s="420"/>
      <c r="E256" s="420"/>
      <c r="F256" s="420"/>
      <c r="G256" s="420"/>
      <c r="H256" s="420"/>
      <c r="I256" s="420"/>
      <c r="J256" s="420"/>
      <c r="K256" s="420"/>
      <c r="L256" s="420"/>
      <c r="M256" s="420"/>
      <c r="N256" s="420"/>
      <c r="O256" s="420"/>
      <c r="P256" s="420"/>
      <c r="Q256" s="420"/>
      <c r="R256" s="420"/>
      <c r="S256" s="420"/>
      <c r="T256" s="420"/>
      <c r="U256" s="420"/>
      <c r="V256" s="420"/>
      <c r="W256" s="420"/>
      <c r="X256" s="420"/>
      <c r="Y256" s="420"/>
      <c r="Z256" s="383"/>
      <c r="AA256" s="386">
        <f t="shared" ref="AA256:AA319" si="4">(S256*Q256%)</f>
        <v>0</v>
      </c>
    </row>
    <row r="257" spans="1:27" ht="15">
      <c r="A257" s="420"/>
      <c r="B257" s="420"/>
      <c r="C257" s="420"/>
      <c r="D257" s="420"/>
      <c r="E257" s="420"/>
      <c r="F257" s="420"/>
      <c r="G257" s="420"/>
      <c r="H257" s="420"/>
      <c r="I257" s="420"/>
      <c r="J257" s="420"/>
      <c r="K257" s="420"/>
      <c r="L257" s="420"/>
      <c r="M257" s="420"/>
      <c r="N257" s="420"/>
      <c r="O257" s="420"/>
      <c r="P257" s="420"/>
      <c r="Q257" s="420"/>
      <c r="R257" s="420"/>
      <c r="S257" s="420"/>
      <c r="T257" s="420"/>
      <c r="U257" s="420"/>
      <c r="V257" s="420"/>
      <c r="W257" s="420"/>
      <c r="X257" s="420"/>
      <c r="Y257" s="420"/>
      <c r="Z257" s="383"/>
      <c r="AA257" s="386">
        <f t="shared" si="4"/>
        <v>0</v>
      </c>
    </row>
    <row r="258" spans="1:27" ht="15">
      <c r="A258" s="420"/>
      <c r="B258" s="420"/>
      <c r="C258" s="420"/>
      <c r="D258" s="420"/>
      <c r="E258" s="420"/>
      <c r="F258" s="420"/>
      <c r="G258" s="420"/>
      <c r="H258" s="420"/>
      <c r="I258" s="420"/>
      <c r="J258" s="420"/>
      <c r="K258" s="420"/>
      <c r="L258" s="420"/>
      <c r="M258" s="420"/>
      <c r="N258" s="420"/>
      <c r="O258" s="420"/>
      <c r="P258" s="420"/>
      <c r="Q258" s="420"/>
      <c r="R258" s="420"/>
      <c r="S258" s="420"/>
      <c r="T258" s="420"/>
      <c r="U258" s="420"/>
      <c r="V258" s="420"/>
      <c r="W258" s="420"/>
      <c r="X258" s="420"/>
      <c r="Y258" s="420"/>
      <c r="Z258" s="383"/>
      <c r="AA258" s="386">
        <f t="shared" si="4"/>
        <v>0</v>
      </c>
    </row>
    <row r="259" spans="1:27" ht="15">
      <c r="A259" s="420"/>
      <c r="B259" s="420"/>
      <c r="C259" s="420"/>
      <c r="D259" s="420"/>
      <c r="E259" s="420"/>
      <c r="F259" s="420"/>
      <c r="G259" s="420"/>
      <c r="H259" s="420"/>
      <c r="I259" s="420"/>
      <c r="J259" s="420"/>
      <c r="K259" s="420"/>
      <c r="L259" s="420"/>
      <c r="M259" s="420"/>
      <c r="N259" s="420"/>
      <c r="O259" s="420"/>
      <c r="P259" s="420"/>
      <c r="Q259" s="420"/>
      <c r="R259" s="420"/>
      <c r="S259" s="420"/>
      <c r="T259" s="420"/>
      <c r="U259" s="420"/>
      <c r="V259" s="420"/>
      <c r="W259" s="420"/>
      <c r="X259" s="420"/>
      <c r="Y259" s="420"/>
      <c r="Z259" s="383"/>
      <c r="AA259" s="386">
        <f t="shared" si="4"/>
        <v>0</v>
      </c>
    </row>
    <row r="260" spans="1:27" ht="15">
      <c r="A260" s="420"/>
      <c r="B260" s="420"/>
      <c r="C260" s="420"/>
      <c r="D260" s="420"/>
      <c r="E260" s="420"/>
      <c r="F260" s="420"/>
      <c r="G260" s="420"/>
      <c r="H260" s="420"/>
      <c r="I260" s="420"/>
      <c r="J260" s="420"/>
      <c r="K260" s="420"/>
      <c r="L260" s="420"/>
      <c r="M260" s="420"/>
      <c r="N260" s="420"/>
      <c r="O260" s="420"/>
      <c r="P260" s="420"/>
      <c r="Q260" s="420"/>
      <c r="R260" s="420"/>
      <c r="S260" s="420"/>
      <c r="T260" s="420"/>
      <c r="U260" s="420"/>
      <c r="V260" s="420"/>
      <c r="W260" s="420"/>
      <c r="X260" s="420"/>
      <c r="Y260" s="420"/>
      <c r="Z260" s="383"/>
      <c r="AA260" s="386">
        <f t="shared" si="4"/>
        <v>0</v>
      </c>
    </row>
    <row r="261" spans="1:27" ht="15">
      <c r="A261" s="420"/>
      <c r="B261" s="420"/>
      <c r="C261" s="420"/>
      <c r="D261" s="420"/>
      <c r="E261" s="420"/>
      <c r="F261" s="420"/>
      <c r="G261" s="420"/>
      <c r="H261" s="420"/>
      <c r="I261" s="420"/>
      <c r="J261" s="420"/>
      <c r="K261" s="420"/>
      <c r="L261" s="420"/>
      <c r="M261" s="420"/>
      <c r="N261" s="420"/>
      <c r="O261" s="420"/>
      <c r="P261" s="420"/>
      <c r="Q261" s="420"/>
      <c r="R261" s="420"/>
      <c r="S261" s="420"/>
      <c r="T261" s="420"/>
      <c r="U261" s="420"/>
      <c r="V261" s="420"/>
      <c r="W261" s="420"/>
      <c r="X261" s="420"/>
      <c r="Y261" s="420"/>
      <c r="Z261" s="383"/>
      <c r="AA261" s="386">
        <f t="shared" si="4"/>
        <v>0</v>
      </c>
    </row>
    <row r="262" spans="1:27" ht="15">
      <c r="A262" s="420"/>
      <c r="B262" s="420"/>
      <c r="C262" s="420"/>
      <c r="D262" s="420"/>
      <c r="E262" s="420"/>
      <c r="F262" s="420"/>
      <c r="G262" s="420"/>
      <c r="H262" s="420"/>
      <c r="I262" s="420"/>
      <c r="J262" s="420"/>
      <c r="K262" s="420"/>
      <c r="L262" s="420"/>
      <c r="M262" s="420"/>
      <c r="N262" s="420"/>
      <c r="O262" s="420"/>
      <c r="P262" s="420"/>
      <c r="Q262" s="420"/>
      <c r="R262" s="420"/>
      <c r="S262" s="420"/>
      <c r="T262" s="420"/>
      <c r="U262" s="420"/>
      <c r="V262" s="420"/>
      <c r="W262" s="420"/>
      <c r="X262" s="420"/>
      <c r="Y262" s="420"/>
      <c r="Z262" s="383"/>
      <c r="AA262" s="386">
        <f t="shared" si="4"/>
        <v>0</v>
      </c>
    </row>
    <row r="263" spans="1:27" ht="15">
      <c r="A263" s="420"/>
      <c r="B263" s="420"/>
      <c r="C263" s="420"/>
      <c r="D263" s="420"/>
      <c r="E263" s="420"/>
      <c r="F263" s="420"/>
      <c r="G263" s="420"/>
      <c r="H263" s="420"/>
      <c r="I263" s="420"/>
      <c r="J263" s="420"/>
      <c r="K263" s="420"/>
      <c r="L263" s="420"/>
      <c r="M263" s="420"/>
      <c r="N263" s="420"/>
      <c r="O263" s="420"/>
      <c r="P263" s="420"/>
      <c r="Q263" s="420"/>
      <c r="R263" s="420"/>
      <c r="S263" s="420"/>
      <c r="T263" s="420"/>
      <c r="U263" s="420"/>
      <c r="V263" s="420"/>
      <c r="W263" s="420"/>
      <c r="X263" s="420"/>
      <c r="Y263" s="420"/>
      <c r="Z263" s="383"/>
      <c r="AA263" s="386">
        <f t="shared" si="4"/>
        <v>0</v>
      </c>
    </row>
    <row r="264" spans="1:27" ht="15">
      <c r="A264" s="420"/>
      <c r="B264" s="420"/>
      <c r="C264" s="420"/>
      <c r="D264" s="420"/>
      <c r="E264" s="420"/>
      <c r="F264" s="420"/>
      <c r="G264" s="420"/>
      <c r="H264" s="420"/>
      <c r="I264" s="420"/>
      <c r="J264" s="420"/>
      <c r="K264" s="420"/>
      <c r="L264" s="420"/>
      <c r="M264" s="420"/>
      <c r="N264" s="420"/>
      <c r="O264" s="420"/>
      <c r="P264" s="420"/>
      <c r="Q264" s="420"/>
      <c r="R264" s="420"/>
      <c r="S264" s="420"/>
      <c r="T264" s="420"/>
      <c r="U264" s="420"/>
      <c r="V264" s="420"/>
      <c r="W264" s="420"/>
      <c r="X264" s="420"/>
      <c r="Y264" s="420"/>
      <c r="Z264" s="383"/>
      <c r="AA264" s="386">
        <f t="shared" si="4"/>
        <v>0</v>
      </c>
    </row>
    <row r="265" spans="1:27" ht="15">
      <c r="A265" s="420"/>
      <c r="B265" s="420"/>
      <c r="C265" s="420"/>
      <c r="D265" s="420"/>
      <c r="E265" s="420"/>
      <c r="F265" s="420"/>
      <c r="G265" s="420"/>
      <c r="H265" s="420"/>
      <c r="I265" s="420"/>
      <c r="J265" s="420"/>
      <c r="K265" s="420"/>
      <c r="L265" s="420"/>
      <c r="M265" s="420"/>
      <c r="N265" s="420"/>
      <c r="O265" s="420"/>
      <c r="P265" s="420"/>
      <c r="Q265" s="420"/>
      <c r="R265" s="420"/>
      <c r="S265" s="420"/>
      <c r="T265" s="420"/>
      <c r="U265" s="420"/>
      <c r="V265" s="420"/>
      <c r="W265" s="420"/>
      <c r="X265" s="420"/>
      <c r="Y265" s="420"/>
      <c r="Z265" s="383"/>
      <c r="AA265" s="386">
        <f t="shared" si="4"/>
        <v>0</v>
      </c>
    </row>
    <row r="266" spans="1:27" ht="15">
      <c r="A266" s="420"/>
      <c r="B266" s="420"/>
      <c r="C266" s="420"/>
      <c r="D266" s="420"/>
      <c r="E266" s="420"/>
      <c r="F266" s="420"/>
      <c r="G266" s="420"/>
      <c r="H266" s="420"/>
      <c r="I266" s="420"/>
      <c r="J266" s="420"/>
      <c r="K266" s="420"/>
      <c r="L266" s="420"/>
      <c r="M266" s="420"/>
      <c r="N266" s="420"/>
      <c r="O266" s="420"/>
      <c r="P266" s="420"/>
      <c r="Q266" s="420"/>
      <c r="R266" s="420"/>
      <c r="S266" s="420"/>
      <c r="T266" s="420"/>
      <c r="U266" s="420"/>
      <c r="V266" s="420"/>
      <c r="W266" s="420"/>
      <c r="X266" s="420"/>
      <c r="Y266" s="420"/>
      <c r="Z266" s="383"/>
      <c r="AA266" s="386">
        <f t="shared" si="4"/>
        <v>0</v>
      </c>
    </row>
    <row r="267" spans="1:27" ht="15">
      <c r="A267" s="420"/>
      <c r="B267" s="420"/>
      <c r="C267" s="420"/>
      <c r="D267" s="420"/>
      <c r="E267" s="420"/>
      <c r="F267" s="420"/>
      <c r="G267" s="420"/>
      <c r="H267" s="420"/>
      <c r="I267" s="420"/>
      <c r="J267" s="420"/>
      <c r="K267" s="420"/>
      <c r="L267" s="420"/>
      <c r="M267" s="420"/>
      <c r="N267" s="420"/>
      <c r="O267" s="420"/>
      <c r="P267" s="420"/>
      <c r="Q267" s="420"/>
      <c r="R267" s="420"/>
      <c r="S267" s="420"/>
      <c r="T267" s="420"/>
      <c r="U267" s="420"/>
      <c r="V267" s="420"/>
      <c r="W267" s="420"/>
      <c r="X267" s="420"/>
      <c r="Y267" s="420"/>
      <c r="Z267" s="383"/>
      <c r="AA267" s="386">
        <f t="shared" si="4"/>
        <v>0</v>
      </c>
    </row>
    <row r="268" spans="1:27" ht="15">
      <c r="A268" s="420"/>
      <c r="B268" s="420"/>
      <c r="C268" s="420"/>
      <c r="D268" s="420"/>
      <c r="E268" s="420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383"/>
      <c r="AA268" s="386">
        <f t="shared" si="4"/>
        <v>0</v>
      </c>
    </row>
    <row r="269" spans="1:27" ht="15">
      <c r="A269" s="420"/>
      <c r="B269" s="420"/>
      <c r="C269" s="420"/>
      <c r="D269" s="420"/>
      <c r="E269" s="420"/>
      <c r="F269" s="420"/>
      <c r="G269" s="420"/>
      <c r="H269" s="420"/>
      <c r="I269" s="420"/>
      <c r="J269" s="420"/>
      <c r="K269" s="420"/>
      <c r="L269" s="420"/>
      <c r="M269" s="420"/>
      <c r="N269" s="420"/>
      <c r="O269" s="420"/>
      <c r="P269" s="420"/>
      <c r="Q269" s="420"/>
      <c r="R269" s="420"/>
      <c r="S269" s="420"/>
      <c r="T269" s="420"/>
      <c r="U269" s="420"/>
      <c r="V269" s="420"/>
      <c r="W269" s="420"/>
      <c r="X269" s="420"/>
      <c r="Y269" s="420"/>
      <c r="Z269" s="383"/>
      <c r="AA269" s="386">
        <f t="shared" si="4"/>
        <v>0</v>
      </c>
    </row>
    <row r="270" spans="1:27" ht="15">
      <c r="A270" s="420"/>
      <c r="B270" s="420"/>
      <c r="C270" s="420"/>
      <c r="D270" s="420"/>
      <c r="E270" s="420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383"/>
      <c r="AA270" s="386">
        <f t="shared" si="4"/>
        <v>0</v>
      </c>
    </row>
    <row r="271" spans="1:27" ht="15">
      <c r="A271" s="420"/>
      <c r="B271" s="420"/>
      <c r="C271" s="420"/>
      <c r="D271" s="420"/>
      <c r="E271" s="420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383"/>
      <c r="AA271" s="386">
        <f t="shared" si="4"/>
        <v>0</v>
      </c>
    </row>
    <row r="272" spans="1:27" ht="15">
      <c r="A272" s="420"/>
      <c r="B272" s="420"/>
      <c r="C272" s="420"/>
      <c r="D272" s="420"/>
      <c r="E272" s="420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383"/>
      <c r="AA272" s="386">
        <f t="shared" si="4"/>
        <v>0</v>
      </c>
    </row>
    <row r="273" spans="1:27" ht="15">
      <c r="A273" s="420"/>
      <c r="B273" s="420"/>
      <c r="C273" s="420"/>
      <c r="D273" s="420"/>
      <c r="E273" s="420"/>
      <c r="F273" s="420"/>
      <c r="G273" s="420"/>
      <c r="H273" s="420"/>
      <c r="I273" s="420"/>
      <c r="J273" s="420"/>
      <c r="K273" s="420"/>
      <c r="L273" s="420"/>
      <c r="M273" s="420"/>
      <c r="N273" s="420"/>
      <c r="O273" s="420"/>
      <c r="P273" s="420"/>
      <c r="Q273" s="420"/>
      <c r="R273" s="420"/>
      <c r="S273" s="420"/>
      <c r="T273" s="420"/>
      <c r="U273" s="420"/>
      <c r="V273" s="420"/>
      <c r="W273" s="420"/>
      <c r="X273" s="420"/>
      <c r="Y273" s="420"/>
      <c r="Z273" s="383"/>
      <c r="AA273" s="386">
        <f t="shared" si="4"/>
        <v>0</v>
      </c>
    </row>
    <row r="274" spans="1:27" ht="15">
      <c r="A274" s="420"/>
      <c r="B274" s="420"/>
      <c r="C274" s="420"/>
      <c r="D274" s="420"/>
      <c r="E274" s="420"/>
      <c r="F274" s="420"/>
      <c r="G274" s="420"/>
      <c r="H274" s="420"/>
      <c r="I274" s="420"/>
      <c r="J274" s="420"/>
      <c r="K274" s="420"/>
      <c r="L274" s="420"/>
      <c r="M274" s="420"/>
      <c r="N274" s="420"/>
      <c r="O274" s="420"/>
      <c r="P274" s="420"/>
      <c r="Q274" s="420"/>
      <c r="R274" s="420"/>
      <c r="S274" s="420"/>
      <c r="T274" s="420"/>
      <c r="U274" s="420"/>
      <c r="V274" s="420"/>
      <c r="W274" s="420"/>
      <c r="X274" s="420"/>
      <c r="Y274" s="420"/>
      <c r="Z274" s="383"/>
      <c r="AA274" s="386">
        <f t="shared" si="4"/>
        <v>0</v>
      </c>
    </row>
    <row r="275" spans="1:27" ht="15">
      <c r="A275" s="420"/>
      <c r="B275" s="420"/>
      <c r="C275" s="420"/>
      <c r="D275" s="420"/>
      <c r="E275" s="420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383"/>
      <c r="AA275" s="386">
        <f t="shared" si="4"/>
        <v>0</v>
      </c>
    </row>
    <row r="276" spans="1:27" ht="15">
      <c r="A276" s="420"/>
      <c r="B276" s="420"/>
      <c r="C276" s="420"/>
      <c r="D276" s="420"/>
      <c r="E276" s="420"/>
      <c r="F276" s="420"/>
      <c r="G276" s="420"/>
      <c r="H276" s="420"/>
      <c r="I276" s="420"/>
      <c r="J276" s="420"/>
      <c r="K276" s="420"/>
      <c r="L276" s="420"/>
      <c r="M276" s="420"/>
      <c r="N276" s="420"/>
      <c r="O276" s="420"/>
      <c r="P276" s="420"/>
      <c r="Q276" s="420"/>
      <c r="R276" s="420"/>
      <c r="S276" s="420"/>
      <c r="T276" s="420"/>
      <c r="U276" s="420"/>
      <c r="V276" s="420"/>
      <c r="W276" s="420"/>
      <c r="X276" s="420"/>
      <c r="Y276" s="420"/>
      <c r="Z276" s="383"/>
      <c r="AA276" s="386">
        <f t="shared" si="4"/>
        <v>0</v>
      </c>
    </row>
    <row r="277" spans="1:27" ht="15">
      <c r="A277" s="420"/>
      <c r="B277" s="420"/>
      <c r="C277" s="420"/>
      <c r="D277" s="420"/>
      <c r="E277" s="420"/>
      <c r="F277" s="420"/>
      <c r="G277" s="420"/>
      <c r="H277" s="420"/>
      <c r="I277" s="420"/>
      <c r="J277" s="420"/>
      <c r="K277" s="420"/>
      <c r="L277" s="420"/>
      <c r="M277" s="420"/>
      <c r="N277" s="420"/>
      <c r="O277" s="420"/>
      <c r="P277" s="420"/>
      <c r="Q277" s="420"/>
      <c r="R277" s="420"/>
      <c r="S277" s="420"/>
      <c r="T277" s="420"/>
      <c r="U277" s="420"/>
      <c r="V277" s="420"/>
      <c r="W277" s="420"/>
      <c r="X277" s="420"/>
      <c r="Y277" s="420"/>
      <c r="Z277" s="383"/>
      <c r="AA277" s="386">
        <f t="shared" si="4"/>
        <v>0</v>
      </c>
    </row>
    <row r="278" spans="1:27" ht="15">
      <c r="A278" s="420"/>
      <c r="B278" s="420"/>
      <c r="C278" s="420"/>
      <c r="D278" s="420"/>
      <c r="E278" s="420"/>
      <c r="F278" s="420"/>
      <c r="G278" s="420"/>
      <c r="H278" s="420"/>
      <c r="I278" s="420"/>
      <c r="J278" s="420"/>
      <c r="K278" s="420"/>
      <c r="L278" s="420"/>
      <c r="M278" s="420"/>
      <c r="N278" s="420"/>
      <c r="O278" s="420"/>
      <c r="P278" s="420"/>
      <c r="Q278" s="420"/>
      <c r="R278" s="420"/>
      <c r="S278" s="420"/>
      <c r="T278" s="420"/>
      <c r="U278" s="420"/>
      <c r="V278" s="420"/>
      <c r="W278" s="420"/>
      <c r="X278" s="420"/>
      <c r="Y278" s="420"/>
      <c r="Z278" s="383"/>
      <c r="AA278" s="386">
        <f t="shared" si="4"/>
        <v>0</v>
      </c>
    </row>
    <row r="279" spans="1:27" ht="15">
      <c r="A279" s="420"/>
      <c r="B279" s="420"/>
      <c r="C279" s="420"/>
      <c r="D279" s="420"/>
      <c r="E279" s="420"/>
      <c r="F279" s="420"/>
      <c r="G279" s="420"/>
      <c r="H279" s="420"/>
      <c r="I279" s="420"/>
      <c r="J279" s="420"/>
      <c r="K279" s="420"/>
      <c r="L279" s="420"/>
      <c r="M279" s="420"/>
      <c r="N279" s="420"/>
      <c r="O279" s="420"/>
      <c r="P279" s="420"/>
      <c r="Q279" s="420"/>
      <c r="R279" s="420"/>
      <c r="S279" s="420"/>
      <c r="T279" s="420"/>
      <c r="U279" s="420"/>
      <c r="V279" s="420"/>
      <c r="W279" s="420"/>
      <c r="X279" s="420"/>
      <c r="Y279" s="420"/>
      <c r="Z279" s="383"/>
      <c r="AA279" s="386">
        <f t="shared" si="4"/>
        <v>0</v>
      </c>
    </row>
    <row r="280" spans="1:27" ht="15">
      <c r="A280" s="420"/>
      <c r="B280" s="420"/>
      <c r="C280" s="420"/>
      <c r="D280" s="420"/>
      <c r="E280" s="420"/>
      <c r="F280" s="420"/>
      <c r="G280" s="420"/>
      <c r="H280" s="420"/>
      <c r="I280" s="420"/>
      <c r="J280" s="420"/>
      <c r="K280" s="420"/>
      <c r="L280" s="420"/>
      <c r="M280" s="420"/>
      <c r="N280" s="420"/>
      <c r="O280" s="420"/>
      <c r="P280" s="420"/>
      <c r="Q280" s="420"/>
      <c r="R280" s="420"/>
      <c r="S280" s="420"/>
      <c r="T280" s="420"/>
      <c r="U280" s="420"/>
      <c r="V280" s="420"/>
      <c r="W280" s="420"/>
      <c r="X280" s="420"/>
      <c r="Y280" s="420"/>
      <c r="Z280" s="383"/>
      <c r="AA280" s="386">
        <f t="shared" si="4"/>
        <v>0</v>
      </c>
    </row>
    <row r="281" spans="1:27" ht="15">
      <c r="A281" s="420"/>
      <c r="B281" s="420"/>
      <c r="C281" s="420"/>
      <c r="D281" s="420"/>
      <c r="E281" s="420"/>
      <c r="F281" s="420"/>
      <c r="G281" s="420"/>
      <c r="H281" s="420"/>
      <c r="I281" s="420"/>
      <c r="J281" s="420"/>
      <c r="K281" s="420"/>
      <c r="L281" s="420"/>
      <c r="M281" s="420"/>
      <c r="N281" s="420"/>
      <c r="O281" s="420"/>
      <c r="P281" s="420"/>
      <c r="Q281" s="420"/>
      <c r="R281" s="420"/>
      <c r="S281" s="420"/>
      <c r="T281" s="420"/>
      <c r="U281" s="420"/>
      <c r="V281" s="420"/>
      <c r="W281" s="420"/>
      <c r="X281" s="420"/>
      <c r="Y281" s="420"/>
      <c r="Z281" s="383"/>
      <c r="AA281" s="386">
        <f t="shared" si="4"/>
        <v>0</v>
      </c>
    </row>
    <row r="282" spans="1:27" ht="15">
      <c r="A282" s="420"/>
      <c r="B282" s="420"/>
      <c r="C282" s="420"/>
      <c r="D282" s="420"/>
      <c r="E282" s="420"/>
      <c r="F282" s="420"/>
      <c r="G282" s="420"/>
      <c r="H282" s="420"/>
      <c r="I282" s="420"/>
      <c r="J282" s="420"/>
      <c r="K282" s="420"/>
      <c r="L282" s="420"/>
      <c r="M282" s="420"/>
      <c r="N282" s="420"/>
      <c r="O282" s="420"/>
      <c r="P282" s="420"/>
      <c r="Q282" s="420"/>
      <c r="R282" s="420"/>
      <c r="S282" s="420"/>
      <c r="T282" s="420"/>
      <c r="U282" s="420"/>
      <c r="V282" s="420"/>
      <c r="W282" s="420"/>
      <c r="X282" s="420"/>
      <c r="Y282" s="420"/>
      <c r="Z282" s="383"/>
      <c r="AA282" s="386">
        <f t="shared" si="4"/>
        <v>0</v>
      </c>
    </row>
    <row r="283" spans="1:27" ht="15">
      <c r="A283" s="420"/>
      <c r="B283" s="420"/>
      <c r="C283" s="420"/>
      <c r="D283" s="420"/>
      <c r="E283" s="420"/>
      <c r="F283" s="420"/>
      <c r="G283" s="420"/>
      <c r="H283" s="420"/>
      <c r="I283" s="420"/>
      <c r="J283" s="420"/>
      <c r="K283" s="420"/>
      <c r="L283" s="420"/>
      <c r="M283" s="420"/>
      <c r="N283" s="420"/>
      <c r="O283" s="420"/>
      <c r="P283" s="420"/>
      <c r="Q283" s="420"/>
      <c r="R283" s="420"/>
      <c r="S283" s="420"/>
      <c r="T283" s="420"/>
      <c r="U283" s="420"/>
      <c r="V283" s="420"/>
      <c r="W283" s="420"/>
      <c r="X283" s="420"/>
      <c r="Y283" s="420"/>
      <c r="Z283" s="383"/>
      <c r="AA283" s="386">
        <f t="shared" si="4"/>
        <v>0</v>
      </c>
    </row>
    <row r="284" spans="1:27" ht="15">
      <c r="A284" s="420"/>
      <c r="B284" s="420"/>
      <c r="C284" s="420"/>
      <c r="D284" s="420"/>
      <c r="E284" s="420"/>
      <c r="F284" s="420"/>
      <c r="G284" s="420"/>
      <c r="H284" s="420"/>
      <c r="I284" s="420"/>
      <c r="J284" s="420"/>
      <c r="K284" s="420"/>
      <c r="L284" s="420"/>
      <c r="M284" s="420"/>
      <c r="N284" s="420"/>
      <c r="O284" s="420"/>
      <c r="P284" s="420"/>
      <c r="Q284" s="420"/>
      <c r="R284" s="420"/>
      <c r="S284" s="420"/>
      <c r="T284" s="420"/>
      <c r="U284" s="420"/>
      <c r="V284" s="420"/>
      <c r="W284" s="420"/>
      <c r="X284" s="420"/>
      <c r="Y284" s="420"/>
      <c r="Z284" s="383"/>
      <c r="AA284" s="386">
        <f t="shared" si="4"/>
        <v>0</v>
      </c>
    </row>
    <row r="285" spans="1:27" ht="15">
      <c r="A285" s="420"/>
      <c r="B285" s="420"/>
      <c r="C285" s="420"/>
      <c r="D285" s="420"/>
      <c r="E285" s="420"/>
      <c r="F285" s="420"/>
      <c r="G285" s="420"/>
      <c r="H285" s="420"/>
      <c r="I285" s="420"/>
      <c r="J285" s="420"/>
      <c r="K285" s="420"/>
      <c r="L285" s="420"/>
      <c r="M285" s="420"/>
      <c r="N285" s="420"/>
      <c r="O285" s="420"/>
      <c r="P285" s="420"/>
      <c r="Q285" s="420"/>
      <c r="R285" s="420"/>
      <c r="S285" s="420"/>
      <c r="T285" s="420"/>
      <c r="U285" s="420"/>
      <c r="V285" s="420"/>
      <c r="W285" s="420"/>
      <c r="X285" s="420"/>
      <c r="Y285" s="420"/>
      <c r="Z285" s="383"/>
      <c r="AA285" s="386">
        <f t="shared" si="4"/>
        <v>0</v>
      </c>
    </row>
    <row r="286" spans="1:27" ht="15">
      <c r="A286" s="420"/>
      <c r="B286" s="420"/>
      <c r="C286" s="420"/>
      <c r="D286" s="420"/>
      <c r="E286" s="420"/>
      <c r="F286" s="420"/>
      <c r="G286" s="420"/>
      <c r="H286" s="420"/>
      <c r="I286" s="420"/>
      <c r="J286" s="420"/>
      <c r="K286" s="420"/>
      <c r="L286" s="420"/>
      <c r="M286" s="420"/>
      <c r="N286" s="420"/>
      <c r="O286" s="420"/>
      <c r="P286" s="420"/>
      <c r="Q286" s="420"/>
      <c r="R286" s="420"/>
      <c r="S286" s="420"/>
      <c r="T286" s="420"/>
      <c r="U286" s="420"/>
      <c r="V286" s="420"/>
      <c r="W286" s="420"/>
      <c r="X286" s="420"/>
      <c r="Y286" s="420"/>
      <c r="Z286" s="383"/>
      <c r="AA286" s="386">
        <f t="shared" si="4"/>
        <v>0</v>
      </c>
    </row>
    <row r="287" spans="1:27" ht="15">
      <c r="A287" s="420"/>
      <c r="B287" s="420"/>
      <c r="C287" s="420"/>
      <c r="D287" s="420"/>
      <c r="E287" s="420"/>
      <c r="F287" s="420"/>
      <c r="G287" s="420"/>
      <c r="H287" s="420"/>
      <c r="I287" s="420"/>
      <c r="J287" s="420"/>
      <c r="K287" s="420"/>
      <c r="L287" s="420"/>
      <c r="M287" s="420"/>
      <c r="N287" s="420"/>
      <c r="O287" s="420"/>
      <c r="P287" s="420"/>
      <c r="Q287" s="420"/>
      <c r="R287" s="420"/>
      <c r="S287" s="420"/>
      <c r="T287" s="420"/>
      <c r="U287" s="420"/>
      <c r="V287" s="420"/>
      <c r="W287" s="420"/>
      <c r="X287" s="420"/>
      <c r="Y287" s="420"/>
      <c r="Z287" s="383"/>
      <c r="AA287" s="386">
        <f t="shared" si="4"/>
        <v>0</v>
      </c>
    </row>
    <row r="288" spans="1:27" ht="15">
      <c r="A288" s="420"/>
      <c r="B288" s="420"/>
      <c r="C288" s="420"/>
      <c r="D288" s="420"/>
      <c r="E288" s="420"/>
      <c r="F288" s="420"/>
      <c r="G288" s="420"/>
      <c r="H288" s="420"/>
      <c r="I288" s="420"/>
      <c r="J288" s="420"/>
      <c r="K288" s="420"/>
      <c r="L288" s="420"/>
      <c r="M288" s="420"/>
      <c r="N288" s="420"/>
      <c r="O288" s="420"/>
      <c r="P288" s="420"/>
      <c r="Q288" s="420"/>
      <c r="R288" s="420"/>
      <c r="S288" s="420"/>
      <c r="T288" s="420"/>
      <c r="U288" s="420"/>
      <c r="V288" s="420"/>
      <c r="W288" s="420"/>
      <c r="X288" s="420"/>
      <c r="Y288" s="420"/>
      <c r="Z288" s="383"/>
      <c r="AA288" s="386">
        <f t="shared" si="4"/>
        <v>0</v>
      </c>
    </row>
    <row r="289" spans="1:27" ht="15">
      <c r="A289" s="420"/>
      <c r="B289" s="420"/>
      <c r="C289" s="420"/>
      <c r="D289" s="420"/>
      <c r="E289" s="420"/>
      <c r="F289" s="420"/>
      <c r="G289" s="420"/>
      <c r="H289" s="420"/>
      <c r="I289" s="420"/>
      <c r="J289" s="420"/>
      <c r="K289" s="420"/>
      <c r="L289" s="420"/>
      <c r="M289" s="420"/>
      <c r="N289" s="420"/>
      <c r="O289" s="420"/>
      <c r="P289" s="420"/>
      <c r="Q289" s="420"/>
      <c r="R289" s="420"/>
      <c r="S289" s="420"/>
      <c r="T289" s="420"/>
      <c r="U289" s="420"/>
      <c r="V289" s="420"/>
      <c r="W289" s="420"/>
      <c r="X289" s="420"/>
      <c r="Y289" s="420"/>
      <c r="Z289" s="383"/>
      <c r="AA289" s="386">
        <f t="shared" si="4"/>
        <v>0</v>
      </c>
    </row>
    <row r="290" spans="1:27" ht="15">
      <c r="A290" s="420"/>
      <c r="B290" s="420"/>
      <c r="C290" s="420"/>
      <c r="D290" s="420"/>
      <c r="E290" s="420"/>
      <c r="F290" s="420"/>
      <c r="G290" s="420"/>
      <c r="H290" s="420"/>
      <c r="I290" s="420"/>
      <c r="J290" s="420"/>
      <c r="K290" s="420"/>
      <c r="L290" s="420"/>
      <c r="M290" s="420"/>
      <c r="N290" s="420"/>
      <c r="O290" s="420"/>
      <c r="P290" s="420"/>
      <c r="Q290" s="420"/>
      <c r="R290" s="420"/>
      <c r="S290" s="420"/>
      <c r="T290" s="420"/>
      <c r="U290" s="420"/>
      <c r="V290" s="420"/>
      <c r="W290" s="420"/>
      <c r="X290" s="420"/>
      <c r="Y290" s="420"/>
      <c r="Z290" s="383"/>
      <c r="AA290" s="386">
        <f t="shared" si="4"/>
        <v>0</v>
      </c>
    </row>
    <row r="291" spans="1:27" ht="15">
      <c r="A291" s="420"/>
      <c r="B291" s="420"/>
      <c r="C291" s="420"/>
      <c r="D291" s="420"/>
      <c r="E291" s="420"/>
      <c r="F291" s="420"/>
      <c r="G291" s="420"/>
      <c r="H291" s="420"/>
      <c r="I291" s="420"/>
      <c r="J291" s="420"/>
      <c r="K291" s="420"/>
      <c r="L291" s="420"/>
      <c r="M291" s="420"/>
      <c r="N291" s="420"/>
      <c r="O291" s="420"/>
      <c r="P291" s="420"/>
      <c r="Q291" s="420"/>
      <c r="R291" s="420"/>
      <c r="S291" s="420"/>
      <c r="T291" s="420"/>
      <c r="U291" s="420"/>
      <c r="V291" s="420"/>
      <c r="W291" s="420"/>
      <c r="X291" s="420"/>
      <c r="Y291" s="420"/>
      <c r="Z291" s="383"/>
      <c r="AA291" s="386">
        <f t="shared" si="4"/>
        <v>0</v>
      </c>
    </row>
    <row r="292" spans="1:27" ht="15">
      <c r="A292" s="420"/>
      <c r="B292" s="420"/>
      <c r="C292" s="420"/>
      <c r="D292" s="420"/>
      <c r="E292" s="420"/>
      <c r="F292" s="420"/>
      <c r="G292" s="420"/>
      <c r="H292" s="420"/>
      <c r="I292" s="420"/>
      <c r="J292" s="420"/>
      <c r="K292" s="420"/>
      <c r="L292" s="420"/>
      <c r="M292" s="420"/>
      <c r="N292" s="420"/>
      <c r="O292" s="420"/>
      <c r="P292" s="420"/>
      <c r="Q292" s="420"/>
      <c r="R292" s="420"/>
      <c r="S292" s="420"/>
      <c r="T292" s="420"/>
      <c r="U292" s="420"/>
      <c r="V292" s="420"/>
      <c r="W292" s="420"/>
      <c r="X292" s="420"/>
      <c r="Y292" s="420"/>
      <c r="Z292" s="383"/>
      <c r="AA292" s="386">
        <f t="shared" si="4"/>
        <v>0</v>
      </c>
    </row>
    <row r="293" spans="1:27" ht="15">
      <c r="A293" s="420"/>
      <c r="B293" s="420"/>
      <c r="C293" s="420"/>
      <c r="D293" s="420"/>
      <c r="E293" s="420"/>
      <c r="F293" s="420"/>
      <c r="G293" s="420"/>
      <c r="H293" s="420"/>
      <c r="I293" s="420"/>
      <c r="J293" s="420"/>
      <c r="K293" s="420"/>
      <c r="L293" s="420"/>
      <c r="M293" s="420"/>
      <c r="N293" s="420"/>
      <c r="O293" s="420"/>
      <c r="P293" s="420"/>
      <c r="Q293" s="420"/>
      <c r="R293" s="420"/>
      <c r="S293" s="420"/>
      <c r="T293" s="420"/>
      <c r="U293" s="420"/>
      <c r="V293" s="420"/>
      <c r="W293" s="420"/>
      <c r="X293" s="420"/>
      <c r="Y293" s="420"/>
      <c r="Z293" s="383"/>
      <c r="AA293" s="386">
        <f t="shared" si="4"/>
        <v>0</v>
      </c>
    </row>
    <row r="294" spans="1:27" ht="15">
      <c r="A294" s="420"/>
      <c r="B294" s="420"/>
      <c r="C294" s="420"/>
      <c r="D294" s="420"/>
      <c r="E294" s="420"/>
      <c r="F294" s="420"/>
      <c r="G294" s="420"/>
      <c r="H294" s="420"/>
      <c r="I294" s="420"/>
      <c r="J294" s="420"/>
      <c r="K294" s="420"/>
      <c r="L294" s="420"/>
      <c r="M294" s="420"/>
      <c r="N294" s="420"/>
      <c r="O294" s="420"/>
      <c r="P294" s="420"/>
      <c r="Q294" s="420"/>
      <c r="R294" s="420"/>
      <c r="S294" s="420"/>
      <c r="T294" s="420"/>
      <c r="U294" s="420"/>
      <c r="V294" s="420"/>
      <c r="W294" s="420"/>
      <c r="X294" s="420"/>
      <c r="Y294" s="420"/>
      <c r="Z294" s="383"/>
      <c r="AA294" s="386">
        <f t="shared" si="4"/>
        <v>0</v>
      </c>
    </row>
    <row r="295" spans="1:27" ht="15">
      <c r="A295" s="420"/>
      <c r="B295" s="420"/>
      <c r="C295" s="420"/>
      <c r="D295" s="420"/>
      <c r="E295" s="420"/>
      <c r="F295" s="420"/>
      <c r="G295" s="420"/>
      <c r="H295" s="420"/>
      <c r="I295" s="420"/>
      <c r="J295" s="420"/>
      <c r="K295" s="420"/>
      <c r="L295" s="420"/>
      <c r="M295" s="420"/>
      <c r="N295" s="420"/>
      <c r="O295" s="420"/>
      <c r="P295" s="420"/>
      <c r="Q295" s="420"/>
      <c r="R295" s="420"/>
      <c r="S295" s="420"/>
      <c r="T295" s="420"/>
      <c r="U295" s="420"/>
      <c r="V295" s="420"/>
      <c r="W295" s="420"/>
      <c r="X295" s="420"/>
      <c r="Y295" s="420"/>
      <c r="Z295" s="383"/>
      <c r="AA295" s="386">
        <f t="shared" si="4"/>
        <v>0</v>
      </c>
    </row>
    <row r="296" spans="1:27" ht="15">
      <c r="A296" s="420"/>
      <c r="B296" s="420"/>
      <c r="C296" s="420"/>
      <c r="D296" s="420"/>
      <c r="E296" s="420"/>
      <c r="F296" s="420"/>
      <c r="G296" s="420"/>
      <c r="H296" s="420"/>
      <c r="I296" s="420"/>
      <c r="J296" s="420"/>
      <c r="K296" s="420"/>
      <c r="L296" s="420"/>
      <c r="M296" s="420"/>
      <c r="N296" s="420"/>
      <c r="O296" s="420"/>
      <c r="P296" s="420"/>
      <c r="Q296" s="420"/>
      <c r="R296" s="420"/>
      <c r="S296" s="420"/>
      <c r="T296" s="420"/>
      <c r="U296" s="420"/>
      <c r="V296" s="420"/>
      <c r="W296" s="420"/>
      <c r="X296" s="420"/>
      <c r="Y296" s="420"/>
      <c r="Z296" s="383"/>
      <c r="AA296" s="386">
        <f t="shared" si="4"/>
        <v>0</v>
      </c>
    </row>
    <row r="297" spans="1:27" ht="15">
      <c r="A297" s="420"/>
      <c r="B297" s="420"/>
      <c r="C297" s="420"/>
      <c r="D297" s="420"/>
      <c r="E297" s="420"/>
      <c r="F297" s="420"/>
      <c r="G297" s="420"/>
      <c r="H297" s="420"/>
      <c r="I297" s="420"/>
      <c r="J297" s="420"/>
      <c r="K297" s="420"/>
      <c r="L297" s="420"/>
      <c r="M297" s="420"/>
      <c r="N297" s="420"/>
      <c r="O297" s="420"/>
      <c r="P297" s="420"/>
      <c r="Q297" s="420"/>
      <c r="R297" s="420"/>
      <c r="S297" s="420"/>
      <c r="T297" s="420"/>
      <c r="U297" s="420"/>
      <c r="V297" s="420"/>
      <c r="W297" s="420"/>
      <c r="X297" s="420"/>
      <c r="Y297" s="420"/>
      <c r="Z297" s="383"/>
      <c r="AA297" s="386">
        <f t="shared" si="4"/>
        <v>0</v>
      </c>
    </row>
    <row r="298" spans="1:27" ht="15">
      <c r="A298" s="420"/>
      <c r="B298" s="420"/>
      <c r="C298" s="420"/>
      <c r="D298" s="420"/>
      <c r="E298" s="420"/>
      <c r="F298" s="420"/>
      <c r="G298" s="420"/>
      <c r="H298" s="420"/>
      <c r="I298" s="420"/>
      <c r="J298" s="420"/>
      <c r="K298" s="420"/>
      <c r="L298" s="420"/>
      <c r="M298" s="420"/>
      <c r="N298" s="420"/>
      <c r="O298" s="420"/>
      <c r="P298" s="420"/>
      <c r="Q298" s="420"/>
      <c r="R298" s="420"/>
      <c r="S298" s="420"/>
      <c r="T298" s="420"/>
      <c r="U298" s="420"/>
      <c r="V298" s="420"/>
      <c r="W298" s="420"/>
      <c r="X298" s="420"/>
      <c r="Y298" s="420"/>
      <c r="Z298" s="383"/>
      <c r="AA298" s="386">
        <f t="shared" si="4"/>
        <v>0</v>
      </c>
    </row>
    <row r="299" spans="1:27" ht="15">
      <c r="A299" s="420"/>
      <c r="B299" s="420"/>
      <c r="C299" s="420"/>
      <c r="D299" s="420"/>
      <c r="E299" s="420"/>
      <c r="F299" s="420"/>
      <c r="G299" s="420"/>
      <c r="H299" s="420"/>
      <c r="I299" s="420"/>
      <c r="J299" s="420"/>
      <c r="K299" s="420"/>
      <c r="L299" s="420"/>
      <c r="M299" s="420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383"/>
      <c r="AA299" s="386">
        <f t="shared" si="4"/>
        <v>0</v>
      </c>
    </row>
    <row r="300" spans="1:27" ht="15">
      <c r="A300" s="420"/>
      <c r="B300" s="420"/>
      <c r="C300" s="420"/>
      <c r="D300" s="420"/>
      <c r="E300" s="420"/>
      <c r="F300" s="420"/>
      <c r="G300" s="420"/>
      <c r="H300" s="420"/>
      <c r="I300" s="420"/>
      <c r="J300" s="420"/>
      <c r="K300" s="420"/>
      <c r="L300" s="420"/>
      <c r="M300" s="420"/>
      <c r="N300" s="420"/>
      <c r="O300" s="420"/>
      <c r="P300" s="420"/>
      <c r="Q300" s="420"/>
      <c r="R300" s="420"/>
      <c r="S300" s="420"/>
      <c r="T300" s="420"/>
      <c r="U300" s="420"/>
      <c r="V300" s="420"/>
      <c r="W300" s="420"/>
      <c r="X300" s="420"/>
      <c r="Y300" s="420"/>
      <c r="Z300" s="383"/>
      <c r="AA300" s="386">
        <f t="shared" si="4"/>
        <v>0</v>
      </c>
    </row>
    <row r="301" spans="1:27" ht="15">
      <c r="A301" s="420"/>
      <c r="B301" s="420"/>
      <c r="C301" s="420"/>
      <c r="D301" s="420"/>
      <c r="E301" s="420"/>
      <c r="F301" s="420"/>
      <c r="G301" s="420"/>
      <c r="H301" s="420"/>
      <c r="I301" s="420"/>
      <c r="J301" s="420"/>
      <c r="K301" s="420"/>
      <c r="L301" s="420"/>
      <c r="M301" s="420"/>
      <c r="N301" s="420"/>
      <c r="O301" s="420"/>
      <c r="P301" s="420"/>
      <c r="Q301" s="420"/>
      <c r="R301" s="420"/>
      <c r="S301" s="420"/>
      <c r="T301" s="420"/>
      <c r="U301" s="420"/>
      <c r="V301" s="420"/>
      <c r="W301" s="420"/>
      <c r="X301" s="420"/>
      <c r="Y301" s="420"/>
      <c r="Z301" s="383"/>
      <c r="AA301" s="386">
        <f t="shared" si="4"/>
        <v>0</v>
      </c>
    </row>
    <row r="302" spans="1:27" ht="15">
      <c r="A302" s="420"/>
      <c r="B302" s="420"/>
      <c r="C302" s="420"/>
      <c r="D302" s="420"/>
      <c r="E302" s="420"/>
      <c r="F302" s="420"/>
      <c r="G302" s="420"/>
      <c r="H302" s="420"/>
      <c r="I302" s="420"/>
      <c r="J302" s="420"/>
      <c r="K302" s="420"/>
      <c r="L302" s="420"/>
      <c r="M302" s="420"/>
      <c r="N302" s="420"/>
      <c r="O302" s="420"/>
      <c r="P302" s="420"/>
      <c r="Q302" s="420"/>
      <c r="R302" s="420"/>
      <c r="S302" s="420"/>
      <c r="T302" s="420"/>
      <c r="U302" s="420"/>
      <c r="V302" s="420"/>
      <c r="W302" s="420"/>
      <c r="X302" s="420"/>
      <c r="Y302" s="420"/>
      <c r="Z302" s="383"/>
      <c r="AA302" s="386">
        <f t="shared" si="4"/>
        <v>0</v>
      </c>
    </row>
    <row r="303" spans="1:27" ht="15">
      <c r="A303" s="420"/>
      <c r="B303" s="420"/>
      <c r="C303" s="420"/>
      <c r="D303" s="420"/>
      <c r="E303" s="420"/>
      <c r="F303" s="420"/>
      <c r="G303" s="420"/>
      <c r="H303" s="420"/>
      <c r="I303" s="420"/>
      <c r="J303" s="420"/>
      <c r="K303" s="420"/>
      <c r="L303" s="420"/>
      <c r="M303" s="420"/>
      <c r="N303" s="420"/>
      <c r="O303" s="420"/>
      <c r="P303" s="420"/>
      <c r="Q303" s="420"/>
      <c r="R303" s="420"/>
      <c r="S303" s="420"/>
      <c r="T303" s="420"/>
      <c r="U303" s="420"/>
      <c r="V303" s="420"/>
      <c r="W303" s="420"/>
      <c r="X303" s="420"/>
      <c r="Y303" s="420"/>
      <c r="Z303" s="383"/>
      <c r="AA303" s="386">
        <f t="shared" si="4"/>
        <v>0</v>
      </c>
    </row>
    <row r="304" spans="1:27" ht="15">
      <c r="A304" s="420"/>
      <c r="B304" s="420"/>
      <c r="C304" s="420"/>
      <c r="D304" s="420"/>
      <c r="E304" s="420"/>
      <c r="F304" s="420"/>
      <c r="G304" s="420"/>
      <c r="H304" s="420"/>
      <c r="I304" s="420"/>
      <c r="J304" s="420"/>
      <c r="K304" s="420"/>
      <c r="L304" s="420"/>
      <c r="M304" s="420"/>
      <c r="N304" s="420"/>
      <c r="O304" s="420"/>
      <c r="P304" s="420"/>
      <c r="Q304" s="420"/>
      <c r="R304" s="420"/>
      <c r="S304" s="420"/>
      <c r="T304" s="420"/>
      <c r="U304" s="420"/>
      <c r="V304" s="420"/>
      <c r="W304" s="420"/>
      <c r="X304" s="420"/>
      <c r="Y304" s="420"/>
      <c r="Z304" s="383"/>
      <c r="AA304" s="386">
        <f t="shared" si="4"/>
        <v>0</v>
      </c>
    </row>
    <row r="305" spans="1:27" ht="15">
      <c r="A305" s="420"/>
      <c r="B305" s="420"/>
      <c r="C305" s="420"/>
      <c r="D305" s="420"/>
      <c r="E305" s="420"/>
      <c r="F305" s="420"/>
      <c r="G305" s="420"/>
      <c r="H305" s="420"/>
      <c r="I305" s="420"/>
      <c r="J305" s="420"/>
      <c r="K305" s="420"/>
      <c r="L305" s="420"/>
      <c r="M305" s="420"/>
      <c r="N305" s="420"/>
      <c r="O305" s="420"/>
      <c r="P305" s="420"/>
      <c r="Q305" s="420"/>
      <c r="R305" s="420"/>
      <c r="S305" s="420"/>
      <c r="T305" s="420"/>
      <c r="U305" s="420"/>
      <c r="V305" s="420"/>
      <c r="W305" s="420"/>
      <c r="X305" s="420"/>
      <c r="Y305" s="420"/>
      <c r="Z305" s="383"/>
      <c r="AA305" s="386">
        <f t="shared" si="4"/>
        <v>0</v>
      </c>
    </row>
    <row r="306" spans="1:27" ht="15">
      <c r="A306" s="420"/>
      <c r="B306" s="420"/>
      <c r="C306" s="420"/>
      <c r="D306" s="420"/>
      <c r="E306" s="420"/>
      <c r="F306" s="420"/>
      <c r="G306" s="420"/>
      <c r="H306" s="420"/>
      <c r="I306" s="420"/>
      <c r="J306" s="420"/>
      <c r="K306" s="420"/>
      <c r="L306" s="420"/>
      <c r="M306" s="420"/>
      <c r="N306" s="420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383"/>
      <c r="AA306" s="386">
        <f t="shared" si="4"/>
        <v>0</v>
      </c>
    </row>
    <row r="307" spans="1:27" ht="15">
      <c r="A307" s="420"/>
      <c r="B307" s="420"/>
      <c r="C307" s="420"/>
      <c r="D307" s="420"/>
      <c r="E307" s="420"/>
      <c r="F307" s="420"/>
      <c r="G307" s="420"/>
      <c r="H307" s="420"/>
      <c r="I307" s="420"/>
      <c r="J307" s="420"/>
      <c r="K307" s="420"/>
      <c r="L307" s="420"/>
      <c r="M307" s="420"/>
      <c r="N307" s="420"/>
      <c r="O307" s="420"/>
      <c r="P307" s="420"/>
      <c r="Q307" s="420"/>
      <c r="R307" s="420"/>
      <c r="S307" s="420"/>
      <c r="T307" s="420"/>
      <c r="U307" s="420"/>
      <c r="V307" s="420"/>
      <c r="W307" s="420"/>
      <c r="X307" s="420"/>
      <c r="Y307" s="420"/>
      <c r="Z307" s="383"/>
      <c r="AA307" s="386">
        <f t="shared" si="4"/>
        <v>0</v>
      </c>
    </row>
    <row r="308" spans="1:27" ht="15">
      <c r="A308" s="420"/>
      <c r="B308" s="420"/>
      <c r="C308" s="420"/>
      <c r="D308" s="420"/>
      <c r="E308" s="420"/>
      <c r="F308" s="420"/>
      <c r="G308" s="420"/>
      <c r="H308" s="420"/>
      <c r="I308" s="420"/>
      <c r="J308" s="420"/>
      <c r="K308" s="420"/>
      <c r="L308" s="420"/>
      <c r="M308" s="420"/>
      <c r="N308" s="420"/>
      <c r="O308" s="420"/>
      <c r="P308" s="420"/>
      <c r="Q308" s="420"/>
      <c r="R308" s="420"/>
      <c r="S308" s="420"/>
      <c r="T308" s="420"/>
      <c r="U308" s="420"/>
      <c r="V308" s="420"/>
      <c r="W308" s="420"/>
      <c r="X308" s="420"/>
      <c r="Y308" s="420"/>
      <c r="Z308" s="383"/>
      <c r="AA308" s="386">
        <f t="shared" si="4"/>
        <v>0</v>
      </c>
    </row>
    <row r="309" spans="1:27" ht="15">
      <c r="A309" s="420"/>
      <c r="B309" s="420"/>
      <c r="C309" s="420"/>
      <c r="D309" s="420"/>
      <c r="E309" s="420"/>
      <c r="F309" s="420"/>
      <c r="G309" s="420"/>
      <c r="H309" s="420"/>
      <c r="I309" s="420"/>
      <c r="J309" s="420"/>
      <c r="K309" s="420"/>
      <c r="L309" s="420"/>
      <c r="M309" s="420"/>
      <c r="N309" s="420"/>
      <c r="O309" s="420"/>
      <c r="P309" s="420"/>
      <c r="Q309" s="420"/>
      <c r="R309" s="420"/>
      <c r="S309" s="420"/>
      <c r="T309" s="420"/>
      <c r="U309" s="420"/>
      <c r="V309" s="420"/>
      <c r="W309" s="420"/>
      <c r="X309" s="420"/>
      <c r="Y309" s="420"/>
      <c r="Z309" s="383"/>
      <c r="AA309" s="386">
        <f t="shared" si="4"/>
        <v>0</v>
      </c>
    </row>
    <row r="310" spans="1:27" ht="15">
      <c r="A310" s="420"/>
      <c r="B310" s="420"/>
      <c r="C310" s="420"/>
      <c r="D310" s="420"/>
      <c r="E310" s="420"/>
      <c r="F310" s="420"/>
      <c r="G310" s="420"/>
      <c r="H310" s="420"/>
      <c r="I310" s="420"/>
      <c r="J310" s="420"/>
      <c r="K310" s="420"/>
      <c r="L310" s="420"/>
      <c r="M310" s="420"/>
      <c r="N310" s="420"/>
      <c r="O310" s="420"/>
      <c r="P310" s="420"/>
      <c r="Q310" s="420"/>
      <c r="R310" s="420"/>
      <c r="S310" s="420"/>
      <c r="T310" s="420"/>
      <c r="U310" s="420"/>
      <c r="V310" s="420"/>
      <c r="W310" s="420"/>
      <c r="X310" s="420"/>
      <c r="Y310" s="420"/>
      <c r="Z310" s="383"/>
      <c r="AA310" s="386">
        <f t="shared" si="4"/>
        <v>0</v>
      </c>
    </row>
    <row r="311" spans="1:27" ht="15">
      <c r="A311" s="420"/>
      <c r="B311" s="420"/>
      <c r="C311" s="420"/>
      <c r="D311" s="420"/>
      <c r="E311" s="420"/>
      <c r="F311" s="420"/>
      <c r="G311" s="420"/>
      <c r="H311" s="420"/>
      <c r="I311" s="420"/>
      <c r="J311" s="420"/>
      <c r="K311" s="420"/>
      <c r="L311" s="420"/>
      <c r="M311" s="420"/>
      <c r="N311" s="420"/>
      <c r="O311" s="420"/>
      <c r="P311" s="420"/>
      <c r="Q311" s="420"/>
      <c r="R311" s="420"/>
      <c r="S311" s="420"/>
      <c r="T311" s="420"/>
      <c r="U311" s="420"/>
      <c r="V311" s="420"/>
      <c r="W311" s="420"/>
      <c r="X311" s="420"/>
      <c r="Y311" s="420"/>
      <c r="Z311" s="383"/>
      <c r="AA311" s="386">
        <f t="shared" si="4"/>
        <v>0</v>
      </c>
    </row>
    <row r="312" spans="1:27" ht="15">
      <c r="A312" s="420"/>
      <c r="B312" s="420"/>
      <c r="C312" s="420"/>
      <c r="D312" s="420"/>
      <c r="E312" s="420"/>
      <c r="F312" s="420"/>
      <c r="G312" s="420"/>
      <c r="H312" s="420"/>
      <c r="I312" s="420"/>
      <c r="J312" s="420"/>
      <c r="K312" s="420"/>
      <c r="L312" s="420"/>
      <c r="M312" s="420"/>
      <c r="N312" s="420"/>
      <c r="O312" s="420"/>
      <c r="P312" s="420"/>
      <c r="Q312" s="420"/>
      <c r="R312" s="420"/>
      <c r="S312" s="420"/>
      <c r="T312" s="420"/>
      <c r="U312" s="420"/>
      <c r="V312" s="420"/>
      <c r="W312" s="420"/>
      <c r="X312" s="420"/>
      <c r="Y312" s="420"/>
      <c r="Z312" s="383"/>
      <c r="AA312" s="386">
        <f t="shared" si="4"/>
        <v>0</v>
      </c>
    </row>
    <row r="313" spans="1:27" ht="15">
      <c r="A313" s="420"/>
      <c r="B313" s="420"/>
      <c r="C313" s="420"/>
      <c r="D313" s="420"/>
      <c r="E313" s="420"/>
      <c r="F313" s="420"/>
      <c r="G313" s="420"/>
      <c r="H313" s="420"/>
      <c r="I313" s="420"/>
      <c r="J313" s="420"/>
      <c r="K313" s="420"/>
      <c r="L313" s="420"/>
      <c r="M313" s="420"/>
      <c r="N313" s="420"/>
      <c r="O313" s="420"/>
      <c r="P313" s="420"/>
      <c r="Q313" s="420"/>
      <c r="R313" s="420"/>
      <c r="S313" s="420"/>
      <c r="T313" s="420"/>
      <c r="U313" s="420"/>
      <c r="V313" s="420"/>
      <c r="W313" s="420"/>
      <c r="X313" s="420"/>
      <c r="Y313" s="420"/>
      <c r="Z313" s="383"/>
      <c r="AA313" s="386">
        <f t="shared" si="4"/>
        <v>0</v>
      </c>
    </row>
    <row r="314" spans="1:27" ht="15">
      <c r="A314" s="420"/>
      <c r="B314" s="420"/>
      <c r="C314" s="420"/>
      <c r="D314" s="420"/>
      <c r="E314" s="420"/>
      <c r="F314" s="420"/>
      <c r="G314" s="420"/>
      <c r="H314" s="420"/>
      <c r="I314" s="420"/>
      <c r="J314" s="420"/>
      <c r="K314" s="420"/>
      <c r="L314" s="420"/>
      <c r="M314" s="420"/>
      <c r="N314" s="420"/>
      <c r="O314" s="420"/>
      <c r="P314" s="420"/>
      <c r="Q314" s="420"/>
      <c r="R314" s="420"/>
      <c r="S314" s="420"/>
      <c r="T314" s="420"/>
      <c r="U314" s="420"/>
      <c r="V314" s="420"/>
      <c r="W314" s="420"/>
      <c r="X314" s="420"/>
      <c r="Y314" s="420"/>
      <c r="Z314" s="383"/>
      <c r="AA314" s="386">
        <f t="shared" si="4"/>
        <v>0</v>
      </c>
    </row>
    <row r="315" spans="1:27" ht="15">
      <c r="A315" s="420"/>
      <c r="B315" s="420"/>
      <c r="C315" s="420"/>
      <c r="D315" s="420"/>
      <c r="E315" s="420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383"/>
      <c r="AA315" s="386">
        <f t="shared" si="4"/>
        <v>0</v>
      </c>
    </row>
    <row r="316" spans="1:27" ht="15">
      <c r="A316" s="420"/>
      <c r="B316" s="420"/>
      <c r="C316" s="420"/>
      <c r="D316" s="420"/>
      <c r="E316" s="420"/>
      <c r="F316" s="420"/>
      <c r="G316" s="420"/>
      <c r="H316" s="420"/>
      <c r="I316" s="420"/>
      <c r="J316" s="420"/>
      <c r="K316" s="420"/>
      <c r="L316" s="420"/>
      <c r="M316" s="420"/>
      <c r="N316" s="420"/>
      <c r="O316" s="420"/>
      <c r="P316" s="420"/>
      <c r="Q316" s="420"/>
      <c r="R316" s="420"/>
      <c r="S316" s="420"/>
      <c r="T316" s="420"/>
      <c r="U316" s="420"/>
      <c r="V316" s="420"/>
      <c r="W316" s="420"/>
      <c r="X316" s="420"/>
      <c r="Y316" s="420"/>
      <c r="Z316" s="383"/>
      <c r="AA316" s="386">
        <f t="shared" si="4"/>
        <v>0</v>
      </c>
    </row>
    <row r="317" spans="1:27" ht="15">
      <c r="A317" s="420"/>
      <c r="B317" s="420"/>
      <c r="C317" s="420"/>
      <c r="D317" s="420"/>
      <c r="E317" s="420"/>
      <c r="F317" s="420"/>
      <c r="G317" s="420"/>
      <c r="H317" s="420"/>
      <c r="I317" s="420"/>
      <c r="J317" s="420"/>
      <c r="K317" s="420"/>
      <c r="L317" s="420"/>
      <c r="M317" s="420"/>
      <c r="N317" s="420"/>
      <c r="O317" s="420"/>
      <c r="P317" s="420"/>
      <c r="Q317" s="420"/>
      <c r="R317" s="420"/>
      <c r="S317" s="420"/>
      <c r="T317" s="420"/>
      <c r="U317" s="420"/>
      <c r="V317" s="420"/>
      <c r="W317" s="420"/>
      <c r="X317" s="420"/>
      <c r="Y317" s="420"/>
      <c r="Z317" s="383"/>
      <c r="AA317" s="386">
        <f t="shared" si="4"/>
        <v>0</v>
      </c>
    </row>
    <row r="318" spans="1:27" ht="15">
      <c r="A318" s="420"/>
      <c r="B318" s="420"/>
      <c r="C318" s="420"/>
      <c r="D318" s="420"/>
      <c r="E318" s="420"/>
      <c r="F318" s="420"/>
      <c r="G318" s="420"/>
      <c r="H318" s="420"/>
      <c r="I318" s="420"/>
      <c r="J318" s="420"/>
      <c r="K318" s="420"/>
      <c r="L318" s="420"/>
      <c r="M318" s="420"/>
      <c r="N318" s="420"/>
      <c r="O318" s="420"/>
      <c r="P318" s="420"/>
      <c r="Q318" s="420"/>
      <c r="R318" s="420"/>
      <c r="S318" s="420"/>
      <c r="T318" s="420"/>
      <c r="U318" s="420"/>
      <c r="V318" s="420"/>
      <c r="W318" s="420"/>
      <c r="X318" s="420"/>
      <c r="Y318" s="420"/>
      <c r="Z318" s="383"/>
      <c r="AA318" s="386">
        <f t="shared" si="4"/>
        <v>0</v>
      </c>
    </row>
    <row r="319" spans="1:27" ht="15">
      <c r="A319" s="420"/>
      <c r="B319" s="420"/>
      <c r="C319" s="420"/>
      <c r="D319" s="420"/>
      <c r="E319" s="420"/>
      <c r="F319" s="420"/>
      <c r="G319" s="420"/>
      <c r="H319" s="420"/>
      <c r="I319" s="420"/>
      <c r="J319" s="420"/>
      <c r="K319" s="420"/>
      <c r="L319" s="420"/>
      <c r="M319" s="420"/>
      <c r="N319" s="420"/>
      <c r="O319" s="420"/>
      <c r="P319" s="420"/>
      <c r="Q319" s="420"/>
      <c r="R319" s="420"/>
      <c r="S319" s="420"/>
      <c r="T319" s="420"/>
      <c r="U319" s="420"/>
      <c r="V319" s="420"/>
      <c r="W319" s="420"/>
      <c r="X319" s="420"/>
      <c r="Y319" s="420"/>
      <c r="Z319" s="383"/>
      <c r="AA319" s="386">
        <f t="shared" si="4"/>
        <v>0</v>
      </c>
    </row>
    <row r="320" spans="1:27" ht="15">
      <c r="A320" s="420"/>
      <c r="B320" s="420"/>
      <c r="C320" s="420"/>
      <c r="D320" s="420"/>
      <c r="E320" s="420"/>
      <c r="F320" s="420"/>
      <c r="G320" s="420"/>
      <c r="H320" s="420"/>
      <c r="I320" s="420"/>
      <c r="J320" s="420"/>
      <c r="K320" s="420"/>
      <c r="L320" s="420"/>
      <c r="M320" s="420"/>
      <c r="N320" s="420"/>
      <c r="O320" s="420"/>
      <c r="P320" s="420"/>
      <c r="Q320" s="420"/>
      <c r="R320" s="420"/>
      <c r="S320" s="420"/>
      <c r="T320" s="420"/>
      <c r="U320" s="420"/>
      <c r="V320" s="420"/>
      <c r="W320" s="420"/>
      <c r="X320" s="420"/>
      <c r="Y320" s="420"/>
      <c r="Z320" s="383"/>
      <c r="AA320" s="386">
        <f t="shared" ref="AA320:AA333" si="5">(S320*Q320%)</f>
        <v>0</v>
      </c>
    </row>
    <row r="321" spans="1:27" ht="15">
      <c r="A321" s="420"/>
      <c r="B321" s="420"/>
      <c r="C321" s="420"/>
      <c r="D321" s="420"/>
      <c r="E321" s="420"/>
      <c r="F321" s="420"/>
      <c r="G321" s="420"/>
      <c r="H321" s="420"/>
      <c r="I321" s="420"/>
      <c r="J321" s="420"/>
      <c r="K321" s="420"/>
      <c r="L321" s="420"/>
      <c r="M321" s="420"/>
      <c r="N321" s="420"/>
      <c r="O321" s="420"/>
      <c r="P321" s="420"/>
      <c r="Q321" s="420"/>
      <c r="R321" s="420"/>
      <c r="S321" s="420"/>
      <c r="T321" s="420"/>
      <c r="U321" s="420"/>
      <c r="V321" s="420"/>
      <c r="W321" s="420"/>
      <c r="X321" s="420"/>
      <c r="Y321" s="420"/>
      <c r="Z321" s="383"/>
      <c r="AA321" s="386">
        <f t="shared" si="5"/>
        <v>0</v>
      </c>
    </row>
    <row r="322" spans="1:27" ht="15">
      <c r="A322" s="420"/>
      <c r="B322" s="420"/>
      <c r="C322" s="420"/>
      <c r="D322" s="420"/>
      <c r="E322" s="420"/>
      <c r="F322" s="420"/>
      <c r="G322" s="420"/>
      <c r="H322" s="420"/>
      <c r="I322" s="420"/>
      <c r="J322" s="420"/>
      <c r="K322" s="420"/>
      <c r="L322" s="420"/>
      <c r="M322" s="420"/>
      <c r="N322" s="420"/>
      <c r="O322" s="420"/>
      <c r="P322" s="420"/>
      <c r="Q322" s="420"/>
      <c r="R322" s="420"/>
      <c r="S322" s="420"/>
      <c r="T322" s="420"/>
      <c r="U322" s="420"/>
      <c r="V322" s="420"/>
      <c r="W322" s="420"/>
      <c r="X322" s="420"/>
      <c r="Y322" s="420"/>
      <c r="Z322" s="383"/>
      <c r="AA322" s="386">
        <f t="shared" si="5"/>
        <v>0</v>
      </c>
    </row>
    <row r="323" spans="1:27" ht="15">
      <c r="A323" s="420"/>
      <c r="B323" s="420"/>
      <c r="C323" s="420"/>
      <c r="D323" s="420"/>
      <c r="E323" s="420"/>
      <c r="F323" s="420"/>
      <c r="G323" s="420"/>
      <c r="H323" s="420"/>
      <c r="I323" s="420"/>
      <c r="J323" s="420"/>
      <c r="K323" s="420"/>
      <c r="L323" s="420"/>
      <c r="M323" s="420"/>
      <c r="N323" s="420"/>
      <c r="O323" s="420"/>
      <c r="P323" s="420"/>
      <c r="Q323" s="420"/>
      <c r="R323" s="420"/>
      <c r="S323" s="420"/>
      <c r="T323" s="420"/>
      <c r="U323" s="420"/>
      <c r="V323" s="420"/>
      <c r="W323" s="420"/>
      <c r="X323" s="420"/>
      <c r="Y323" s="420"/>
      <c r="Z323" s="383"/>
      <c r="AA323" s="386">
        <f t="shared" si="5"/>
        <v>0</v>
      </c>
    </row>
    <row r="324" spans="1:27" ht="15">
      <c r="A324" s="420"/>
      <c r="B324" s="420"/>
      <c r="C324" s="420"/>
      <c r="D324" s="420"/>
      <c r="E324" s="420"/>
      <c r="F324" s="420"/>
      <c r="G324" s="420"/>
      <c r="H324" s="420"/>
      <c r="I324" s="420"/>
      <c r="J324" s="420"/>
      <c r="K324" s="420"/>
      <c r="L324" s="420"/>
      <c r="M324" s="420"/>
      <c r="N324" s="420"/>
      <c r="O324" s="420"/>
      <c r="P324" s="420"/>
      <c r="Q324" s="420"/>
      <c r="R324" s="420"/>
      <c r="S324" s="420"/>
      <c r="T324" s="420"/>
      <c r="U324" s="420"/>
      <c r="V324" s="420"/>
      <c r="W324" s="420"/>
      <c r="X324" s="420"/>
      <c r="Y324" s="420"/>
      <c r="Z324" s="383"/>
      <c r="AA324" s="386">
        <f t="shared" si="5"/>
        <v>0</v>
      </c>
    </row>
    <row r="325" spans="1:27" ht="15">
      <c r="A325" s="420"/>
      <c r="B325" s="420"/>
      <c r="C325" s="420"/>
      <c r="D325" s="420"/>
      <c r="E325" s="420"/>
      <c r="F325" s="420"/>
      <c r="G325" s="420"/>
      <c r="H325" s="420"/>
      <c r="I325" s="420"/>
      <c r="J325" s="420"/>
      <c r="K325" s="420"/>
      <c r="L325" s="420"/>
      <c r="M325" s="420"/>
      <c r="N325" s="420"/>
      <c r="O325" s="420"/>
      <c r="P325" s="420"/>
      <c r="Q325" s="420"/>
      <c r="R325" s="420"/>
      <c r="S325" s="420"/>
      <c r="T325" s="420"/>
      <c r="U325" s="420"/>
      <c r="V325" s="420"/>
      <c r="W325" s="420"/>
      <c r="X325" s="420"/>
      <c r="Y325" s="420"/>
      <c r="Z325" s="383"/>
      <c r="AA325" s="386">
        <f t="shared" si="5"/>
        <v>0</v>
      </c>
    </row>
    <row r="326" spans="1:27" ht="15">
      <c r="A326" s="420"/>
      <c r="B326" s="420"/>
      <c r="C326" s="420"/>
      <c r="D326" s="420"/>
      <c r="E326" s="420"/>
      <c r="F326" s="420"/>
      <c r="G326" s="420"/>
      <c r="H326" s="420"/>
      <c r="I326" s="420"/>
      <c r="J326" s="420"/>
      <c r="K326" s="420"/>
      <c r="L326" s="420"/>
      <c r="M326" s="420"/>
      <c r="N326" s="420"/>
      <c r="O326" s="420"/>
      <c r="P326" s="420"/>
      <c r="Q326" s="420"/>
      <c r="R326" s="420"/>
      <c r="S326" s="420"/>
      <c r="T326" s="420"/>
      <c r="U326" s="420"/>
      <c r="V326" s="420"/>
      <c r="W326" s="420"/>
      <c r="X326" s="420"/>
      <c r="Y326" s="420"/>
      <c r="Z326" s="383"/>
      <c r="AA326" s="386">
        <f t="shared" si="5"/>
        <v>0</v>
      </c>
    </row>
    <row r="327" spans="1:27" ht="15">
      <c r="A327" s="420"/>
      <c r="B327" s="420"/>
      <c r="C327" s="420"/>
      <c r="D327" s="420"/>
      <c r="E327" s="420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383"/>
      <c r="AA327" s="386">
        <f t="shared" si="5"/>
        <v>0</v>
      </c>
    </row>
    <row r="328" spans="1:27" ht="15">
      <c r="A328" s="420"/>
      <c r="B328" s="420"/>
      <c r="C328" s="420"/>
      <c r="D328" s="420"/>
      <c r="E328" s="420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383"/>
      <c r="AA328" s="386">
        <f t="shared" si="5"/>
        <v>0</v>
      </c>
    </row>
    <row r="329" spans="1:27" ht="15">
      <c r="A329" s="420"/>
      <c r="B329" s="420"/>
      <c r="C329" s="420"/>
      <c r="D329" s="420"/>
      <c r="E329" s="420"/>
      <c r="F329" s="420"/>
      <c r="G329" s="420"/>
      <c r="H329" s="420"/>
      <c r="I329" s="420"/>
      <c r="J329" s="420"/>
      <c r="K329" s="420"/>
      <c r="L329" s="420"/>
      <c r="M329" s="420"/>
      <c r="N329" s="420"/>
      <c r="O329" s="420"/>
      <c r="P329" s="420"/>
      <c r="Q329" s="420"/>
      <c r="R329" s="420"/>
      <c r="S329" s="420"/>
      <c r="T329" s="420"/>
      <c r="U329" s="420"/>
      <c r="V329" s="420"/>
      <c r="W329" s="420"/>
      <c r="X329" s="420"/>
      <c r="Y329" s="420"/>
      <c r="Z329" s="383"/>
      <c r="AA329" s="386">
        <f t="shared" si="5"/>
        <v>0</v>
      </c>
    </row>
    <row r="330" spans="1:27" ht="15">
      <c r="A330" s="420"/>
      <c r="B330" s="420"/>
      <c r="C330" s="420"/>
      <c r="D330" s="420"/>
      <c r="E330" s="420"/>
      <c r="F330" s="420"/>
      <c r="G330" s="420"/>
      <c r="H330" s="420"/>
      <c r="I330" s="420"/>
      <c r="J330" s="420"/>
      <c r="K330" s="420"/>
      <c r="L330" s="420"/>
      <c r="M330" s="420"/>
      <c r="N330" s="420"/>
      <c r="O330" s="420"/>
      <c r="P330" s="420"/>
      <c r="Q330" s="420"/>
      <c r="R330" s="420"/>
      <c r="S330" s="420"/>
      <c r="T330" s="420"/>
      <c r="U330" s="420"/>
      <c r="V330" s="420"/>
      <c r="W330" s="420"/>
      <c r="X330" s="420"/>
      <c r="Y330" s="420"/>
      <c r="Z330" s="383"/>
      <c r="AA330" s="386">
        <f t="shared" si="5"/>
        <v>0</v>
      </c>
    </row>
    <row r="331" spans="1:27" ht="15">
      <c r="A331" s="420"/>
      <c r="B331" s="420"/>
      <c r="C331" s="420"/>
      <c r="D331" s="420"/>
      <c r="E331" s="420"/>
      <c r="F331" s="420"/>
      <c r="G331" s="420"/>
      <c r="H331" s="420"/>
      <c r="I331" s="420"/>
      <c r="J331" s="420"/>
      <c r="K331" s="420"/>
      <c r="L331" s="420"/>
      <c r="M331" s="420"/>
      <c r="N331" s="420"/>
      <c r="O331" s="420"/>
      <c r="P331" s="420"/>
      <c r="Q331" s="420"/>
      <c r="R331" s="420"/>
      <c r="S331" s="420"/>
      <c r="T331" s="420"/>
      <c r="U331" s="420"/>
      <c r="V331" s="420"/>
      <c r="W331" s="420"/>
      <c r="X331" s="420"/>
      <c r="Y331" s="420"/>
      <c r="Z331" s="383"/>
      <c r="AA331" s="386">
        <f t="shared" si="5"/>
        <v>0</v>
      </c>
    </row>
    <row r="332" spans="1:27" ht="15">
      <c r="A332" s="420"/>
      <c r="B332" s="420"/>
      <c r="C332" s="420"/>
      <c r="D332" s="420"/>
      <c r="E332" s="420"/>
      <c r="F332" s="420"/>
      <c r="G332" s="420"/>
      <c r="H332" s="420"/>
      <c r="I332" s="420"/>
      <c r="J332" s="420"/>
      <c r="K332" s="420"/>
      <c r="L332" s="420"/>
      <c r="M332" s="420"/>
      <c r="N332" s="420"/>
      <c r="O332" s="420"/>
      <c r="P332" s="420"/>
      <c r="Q332" s="420"/>
      <c r="R332" s="420"/>
      <c r="S332" s="420"/>
      <c r="T332" s="420"/>
      <c r="U332" s="420"/>
      <c r="V332" s="420"/>
      <c r="W332" s="420"/>
      <c r="X332" s="420"/>
      <c r="Y332" s="420"/>
      <c r="Z332" s="383"/>
      <c r="AA332" s="386">
        <f t="shared" si="5"/>
        <v>0</v>
      </c>
    </row>
    <row r="333" spans="1:27" ht="15">
      <c r="A333" s="420"/>
      <c r="B333" s="420"/>
      <c r="C333" s="420"/>
      <c r="D333" s="420"/>
      <c r="E333" s="420"/>
      <c r="F333" s="420"/>
      <c r="G333" s="420"/>
      <c r="H333" s="420"/>
      <c r="I333" s="420"/>
      <c r="J333" s="420"/>
      <c r="K333" s="420"/>
      <c r="L333" s="420"/>
      <c r="M333" s="420"/>
      <c r="N333" s="420"/>
      <c r="O333" s="420"/>
      <c r="P333" s="420"/>
      <c r="Q333" s="420"/>
      <c r="R333" s="420"/>
      <c r="S333" s="420"/>
      <c r="T333" s="420"/>
      <c r="U333" s="420"/>
      <c r="V333" s="420"/>
      <c r="W333" s="420"/>
      <c r="X333" s="420"/>
      <c r="Y333" s="420"/>
      <c r="Z333" s="383"/>
      <c r="AA333" s="386">
        <f t="shared" si="5"/>
        <v>0</v>
      </c>
    </row>
    <row r="334" spans="1:27" ht="15">
      <c r="A334" s="420"/>
      <c r="B334" s="420"/>
      <c r="C334" s="420"/>
      <c r="D334" s="420"/>
      <c r="E334" s="420"/>
      <c r="F334" s="420"/>
      <c r="G334" s="420"/>
      <c r="H334" s="420"/>
      <c r="I334" s="420"/>
      <c r="J334" s="420"/>
      <c r="K334" s="420"/>
      <c r="L334" s="420"/>
      <c r="M334" s="420"/>
      <c r="N334" s="420"/>
      <c r="O334" s="420"/>
      <c r="P334" s="420"/>
      <c r="Q334" s="420"/>
      <c r="R334" s="420"/>
      <c r="S334" s="420"/>
      <c r="T334" s="420"/>
      <c r="U334" s="420"/>
      <c r="V334" s="420"/>
      <c r="W334" s="420"/>
      <c r="X334" s="420"/>
      <c r="Y334" s="420"/>
      <c r="Z334" s="383"/>
    </row>
    <row r="335" spans="1:27" ht="15">
      <c r="A335" s="420"/>
      <c r="B335" s="420"/>
      <c r="C335" s="420"/>
      <c r="D335" s="420"/>
      <c r="E335" s="420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383"/>
    </row>
    <row r="336" spans="1:27" ht="15">
      <c r="A336" s="420"/>
      <c r="B336" s="420"/>
      <c r="C336" s="420"/>
      <c r="D336" s="420"/>
      <c r="E336" s="420"/>
      <c r="F336" s="420"/>
      <c r="G336" s="420"/>
      <c r="H336" s="420"/>
      <c r="I336" s="420"/>
      <c r="J336" s="420"/>
      <c r="K336" s="420"/>
      <c r="L336" s="420"/>
      <c r="M336" s="420"/>
      <c r="N336" s="420"/>
      <c r="O336" s="420"/>
      <c r="P336" s="420"/>
      <c r="Q336" s="420"/>
      <c r="R336" s="420"/>
      <c r="S336" s="420"/>
      <c r="T336" s="420"/>
      <c r="U336" s="420"/>
      <c r="V336" s="420"/>
      <c r="W336" s="420"/>
      <c r="X336" s="420"/>
      <c r="Y336" s="420"/>
      <c r="Z336" s="383"/>
    </row>
    <row r="337" spans="1:26" ht="15">
      <c r="A337" s="420"/>
      <c r="B337" s="420"/>
      <c r="C337" s="420"/>
      <c r="D337" s="420"/>
      <c r="E337" s="420"/>
      <c r="F337" s="420"/>
      <c r="G337" s="420"/>
      <c r="H337" s="420"/>
      <c r="I337" s="420"/>
      <c r="J337" s="420"/>
      <c r="K337" s="420"/>
      <c r="L337" s="420"/>
      <c r="M337" s="420"/>
      <c r="N337" s="420"/>
      <c r="O337" s="420"/>
      <c r="P337" s="420"/>
      <c r="Q337" s="420"/>
      <c r="R337" s="420"/>
      <c r="S337" s="420"/>
      <c r="T337" s="420"/>
      <c r="U337" s="420"/>
      <c r="V337" s="420"/>
      <c r="W337" s="420"/>
      <c r="X337" s="420"/>
      <c r="Y337" s="420"/>
      <c r="Z337" s="383"/>
    </row>
    <row r="338" spans="1:26" ht="15">
      <c r="A338" s="420"/>
      <c r="B338" s="420"/>
      <c r="C338" s="420"/>
      <c r="D338" s="420"/>
      <c r="E338" s="420"/>
      <c r="F338" s="420"/>
      <c r="G338" s="420"/>
      <c r="H338" s="420"/>
      <c r="I338" s="420"/>
      <c r="J338" s="420"/>
      <c r="K338" s="420"/>
      <c r="L338" s="420"/>
      <c r="M338" s="420"/>
      <c r="N338" s="420"/>
      <c r="O338" s="420"/>
      <c r="P338" s="420"/>
      <c r="Q338" s="420"/>
      <c r="R338" s="420"/>
      <c r="S338" s="420"/>
      <c r="T338" s="420"/>
      <c r="U338" s="420"/>
      <c r="V338" s="420"/>
      <c r="W338" s="420"/>
      <c r="X338" s="420"/>
      <c r="Y338" s="420"/>
      <c r="Z338" s="383"/>
    </row>
    <row r="339" spans="1:26" ht="15">
      <c r="A339" s="420"/>
      <c r="B339" s="420"/>
      <c r="C339" s="420"/>
      <c r="D339" s="420"/>
      <c r="E339" s="420"/>
      <c r="F339" s="420"/>
      <c r="G339" s="420"/>
      <c r="H339" s="420"/>
      <c r="I339" s="420"/>
      <c r="J339" s="420"/>
      <c r="K339" s="420"/>
      <c r="L339" s="420"/>
      <c r="M339" s="420"/>
      <c r="N339" s="420"/>
      <c r="O339" s="420"/>
      <c r="P339" s="420"/>
      <c r="Q339" s="420"/>
      <c r="R339" s="420"/>
      <c r="S339" s="420"/>
      <c r="T339" s="420"/>
      <c r="U339" s="420"/>
      <c r="V339" s="420"/>
      <c r="W339" s="420"/>
      <c r="X339" s="420"/>
      <c r="Y339" s="420"/>
      <c r="Z339" s="383"/>
    </row>
    <row r="340" spans="1:26" ht="15">
      <c r="A340" s="420"/>
      <c r="B340" s="420"/>
      <c r="C340" s="420"/>
      <c r="D340" s="420"/>
      <c r="E340" s="420"/>
      <c r="F340" s="420"/>
      <c r="G340" s="420"/>
      <c r="H340" s="420"/>
      <c r="I340" s="420"/>
      <c r="J340" s="420"/>
      <c r="K340" s="420"/>
      <c r="L340" s="420"/>
      <c r="M340" s="420"/>
      <c r="N340" s="420"/>
      <c r="O340" s="420"/>
      <c r="P340" s="420"/>
      <c r="Q340" s="420"/>
      <c r="R340" s="420"/>
      <c r="S340" s="420"/>
      <c r="T340" s="420"/>
      <c r="U340" s="420"/>
      <c r="V340" s="420"/>
      <c r="W340" s="420"/>
      <c r="X340" s="420"/>
      <c r="Y340" s="420"/>
      <c r="Z340" s="383"/>
    </row>
    <row r="341" spans="1:26" ht="15">
      <c r="A341" s="420"/>
      <c r="B341" s="420"/>
      <c r="C341" s="420"/>
      <c r="D341" s="420"/>
      <c r="E341" s="420"/>
      <c r="F341" s="420"/>
      <c r="G341" s="420"/>
      <c r="H341" s="420"/>
      <c r="I341" s="420"/>
      <c r="J341" s="420"/>
      <c r="K341" s="420"/>
      <c r="L341" s="420"/>
      <c r="M341" s="420"/>
      <c r="N341" s="420"/>
      <c r="O341" s="420"/>
      <c r="P341" s="420"/>
      <c r="Q341" s="420"/>
      <c r="R341" s="420"/>
      <c r="S341" s="420"/>
      <c r="T341" s="420"/>
      <c r="U341" s="420"/>
      <c r="V341" s="420"/>
      <c r="W341" s="420"/>
      <c r="X341" s="420"/>
      <c r="Y341" s="420"/>
      <c r="Z341" s="383"/>
    </row>
    <row r="342" spans="1:26" ht="15">
      <c r="A342" s="420"/>
      <c r="B342" s="420"/>
      <c r="C342" s="420"/>
      <c r="D342" s="420"/>
      <c r="E342" s="420"/>
      <c r="F342" s="420"/>
      <c r="G342" s="420"/>
      <c r="H342" s="420"/>
      <c r="I342" s="420"/>
      <c r="J342" s="420"/>
      <c r="K342" s="420"/>
      <c r="L342" s="420"/>
      <c r="M342" s="420"/>
      <c r="N342" s="420"/>
      <c r="O342" s="420"/>
      <c r="P342" s="420"/>
      <c r="Q342" s="420"/>
      <c r="R342" s="420"/>
      <c r="S342" s="420"/>
      <c r="T342" s="420"/>
      <c r="U342" s="420"/>
      <c r="V342" s="420"/>
      <c r="W342" s="420"/>
      <c r="X342" s="420"/>
      <c r="Y342" s="420"/>
      <c r="Z342" s="383"/>
    </row>
    <row r="343" spans="1:26" ht="15">
      <c r="A343" s="420"/>
      <c r="B343" s="420"/>
      <c r="C343" s="420"/>
      <c r="D343" s="420"/>
      <c r="E343" s="420"/>
      <c r="F343" s="420"/>
      <c r="G343" s="420"/>
      <c r="H343" s="420"/>
      <c r="I343" s="420"/>
      <c r="J343" s="420"/>
      <c r="K343" s="420"/>
      <c r="L343" s="420"/>
      <c r="M343" s="420"/>
      <c r="N343" s="420"/>
      <c r="O343" s="420"/>
      <c r="P343" s="420"/>
      <c r="Q343" s="420"/>
      <c r="R343" s="420"/>
      <c r="S343" s="420"/>
      <c r="T343" s="420"/>
      <c r="U343" s="420"/>
      <c r="V343" s="420"/>
      <c r="W343" s="420"/>
      <c r="X343" s="420"/>
      <c r="Y343" s="420"/>
      <c r="Z343" s="383"/>
    </row>
    <row r="344" spans="1:26" ht="15">
      <c r="A344" s="420"/>
      <c r="B344" s="420"/>
      <c r="C344" s="420"/>
      <c r="D344" s="420"/>
      <c r="E344" s="420"/>
      <c r="F344" s="420"/>
      <c r="G344" s="420"/>
      <c r="H344" s="420"/>
      <c r="I344" s="420"/>
      <c r="J344" s="420"/>
      <c r="K344" s="420"/>
      <c r="L344" s="420"/>
      <c r="M344" s="420"/>
      <c r="N344" s="420"/>
      <c r="O344" s="420"/>
      <c r="P344" s="420"/>
      <c r="Q344" s="420"/>
      <c r="R344" s="420"/>
      <c r="S344" s="420"/>
      <c r="T344" s="420"/>
      <c r="U344" s="420"/>
      <c r="V344" s="420"/>
      <c r="W344" s="420"/>
      <c r="X344" s="420"/>
      <c r="Y344" s="420"/>
      <c r="Z344" s="383"/>
    </row>
    <row r="345" spans="1:26" ht="15">
      <c r="A345" s="420"/>
      <c r="B345" s="420"/>
      <c r="C345" s="420"/>
      <c r="D345" s="420"/>
      <c r="E345" s="420"/>
      <c r="F345" s="420"/>
      <c r="G345" s="420"/>
      <c r="H345" s="420"/>
      <c r="I345" s="420"/>
      <c r="J345" s="420"/>
      <c r="K345" s="420"/>
      <c r="L345" s="420"/>
      <c r="M345" s="420"/>
      <c r="N345" s="420"/>
      <c r="O345" s="420"/>
      <c r="P345" s="420"/>
      <c r="Q345" s="420"/>
      <c r="R345" s="420"/>
      <c r="S345" s="420"/>
      <c r="T345" s="420"/>
      <c r="U345" s="420"/>
      <c r="V345" s="420"/>
      <c r="W345" s="420"/>
      <c r="X345" s="420"/>
      <c r="Y345" s="420"/>
      <c r="Z345" s="383"/>
    </row>
    <row r="346" spans="1:26" ht="15">
      <c r="A346" s="420"/>
      <c r="B346" s="420"/>
      <c r="C346" s="420"/>
      <c r="D346" s="420"/>
      <c r="E346" s="420"/>
      <c r="F346" s="420"/>
      <c r="G346" s="420"/>
      <c r="H346" s="420"/>
      <c r="I346" s="420"/>
      <c r="J346" s="420"/>
      <c r="K346" s="420"/>
      <c r="L346" s="420"/>
      <c r="M346" s="420"/>
      <c r="N346" s="420"/>
      <c r="O346" s="420"/>
      <c r="P346" s="420"/>
      <c r="Q346" s="420"/>
      <c r="R346" s="420"/>
      <c r="S346" s="420"/>
      <c r="T346" s="420"/>
      <c r="U346" s="420"/>
      <c r="V346" s="420"/>
      <c r="W346" s="420"/>
      <c r="X346" s="420"/>
      <c r="Y346" s="420"/>
      <c r="Z346" s="383"/>
    </row>
    <row r="347" spans="1:26" ht="15">
      <c r="A347" s="420"/>
      <c r="B347" s="420"/>
      <c r="C347" s="420"/>
      <c r="D347" s="420"/>
      <c r="E347" s="420"/>
      <c r="F347" s="420"/>
      <c r="G347" s="420"/>
      <c r="H347" s="420"/>
      <c r="I347" s="420"/>
      <c r="J347" s="420"/>
      <c r="K347" s="420"/>
      <c r="L347" s="420"/>
      <c r="M347" s="420"/>
      <c r="N347" s="420"/>
      <c r="O347" s="420"/>
      <c r="P347" s="420"/>
      <c r="Q347" s="420"/>
      <c r="R347" s="420"/>
      <c r="S347" s="420"/>
      <c r="T347" s="420"/>
      <c r="U347" s="420"/>
      <c r="V347" s="420"/>
      <c r="W347" s="420"/>
      <c r="X347" s="420"/>
      <c r="Y347" s="420"/>
      <c r="Z347" s="383"/>
    </row>
    <row r="348" spans="1:26" ht="15">
      <c r="A348" s="420"/>
      <c r="B348" s="420"/>
      <c r="C348" s="420"/>
      <c r="D348" s="420"/>
      <c r="E348" s="420"/>
      <c r="F348" s="420"/>
      <c r="G348" s="420"/>
      <c r="H348" s="420"/>
      <c r="I348" s="420"/>
      <c r="J348" s="420"/>
      <c r="K348" s="420"/>
      <c r="L348" s="420"/>
      <c r="M348" s="420"/>
      <c r="N348" s="420"/>
      <c r="O348" s="420"/>
      <c r="P348" s="420"/>
      <c r="Q348" s="420"/>
      <c r="R348" s="420"/>
      <c r="S348" s="420"/>
      <c r="T348" s="420"/>
      <c r="U348" s="420"/>
      <c r="V348" s="420"/>
      <c r="W348" s="420"/>
      <c r="X348" s="420"/>
      <c r="Y348" s="420"/>
      <c r="Z348" s="383"/>
    </row>
    <row r="349" spans="1:26" ht="15">
      <c r="A349" s="420"/>
      <c r="B349" s="420"/>
      <c r="C349" s="420"/>
      <c r="D349" s="420"/>
      <c r="E349" s="420"/>
      <c r="F349" s="420"/>
      <c r="G349" s="420"/>
      <c r="H349" s="420"/>
      <c r="I349" s="420"/>
      <c r="J349" s="420"/>
      <c r="K349" s="420"/>
      <c r="L349" s="420"/>
      <c r="M349" s="420"/>
      <c r="N349" s="420"/>
      <c r="O349" s="420"/>
      <c r="P349" s="420"/>
      <c r="Q349" s="420"/>
      <c r="R349" s="420"/>
      <c r="S349" s="420"/>
      <c r="T349" s="420"/>
      <c r="U349" s="420"/>
      <c r="V349" s="420"/>
      <c r="W349" s="420"/>
      <c r="X349" s="420"/>
      <c r="Y349" s="420"/>
      <c r="Z349" s="383"/>
    </row>
    <row r="350" spans="1:26" ht="15">
      <c r="A350" s="420"/>
      <c r="B350" s="420"/>
      <c r="C350" s="420"/>
      <c r="D350" s="420"/>
      <c r="E350" s="420"/>
      <c r="F350" s="420"/>
      <c r="G350" s="420"/>
      <c r="H350" s="420"/>
      <c r="I350" s="420"/>
      <c r="J350" s="420"/>
      <c r="K350" s="420"/>
      <c r="L350" s="420"/>
      <c r="M350" s="420"/>
      <c r="N350" s="420"/>
      <c r="O350" s="420"/>
      <c r="P350" s="420"/>
      <c r="Q350" s="420"/>
      <c r="R350" s="420"/>
      <c r="S350" s="420"/>
      <c r="T350" s="420"/>
      <c r="U350" s="420"/>
      <c r="V350" s="420"/>
      <c r="W350" s="420"/>
      <c r="X350" s="420"/>
      <c r="Y350" s="420"/>
      <c r="Z350" s="383"/>
    </row>
    <row r="351" spans="1:26" ht="15">
      <c r="A351" s="420"/>
      <c r="B351" s="420"/>
      <c r="C351" s="420"/>
      <c r="D351" s="420"/>
      <c r="E351" s="420"/>
      <c r="F351" s="420"/>
      <c r="G351" s="420"/>
      <c r="H351" s="420"/>
      <c r="I351" s="420"/>
      <c r="J351" s="420"/>
      <c r="K351" s="420"/>
      <c r="L351" s="420"/>
      <c r="M351" s="420"/>
      <c r="N351" s="420"/>
      <c r="O351" s="420"/>
      <c r="P351" s="420"/>
      <c r="Q351" s="420"/>
      <c r="R351" s="420"/>
      <c r="S351" s="420"/>
      <c r="T351" s="420"/>
      <c r="U351" s="420"/>
      <c r="V351" s="420"/>
      <c r="W351" s="420"/>
      <c r="X351" s="420"/>
      <c r="Y351" s="420"/>
      <c r="Z351" s="383"/>
    </row>
    <row r="352" spans="1:26" ht="15">
      <c r="A352" s="420"/>
      <c r="B352" s="420"/>
      <c r="C352" s="420"/>
      <c r="D352" s="420"/>
      <c r="E352" s="420"/>
      <c r="F352" s="420"/>
      <c r="G352" s="420"/>
      <c r="H352" s="420"/>
      <c r="I352" s="420"/>
      <c r="J352" s="420"/>
      <c r="K352" s="420"/>
      <c r="L352" s="420"/>
      <c r="M352" s="420"/>
      <c r="N352" s="420"/>
      <c r="O352" s="420"/>
      <c r="P352" s="420"/>
      <c r="Q352" s="420"/>
      <c r="R352" s="420"/>
      <c r="S352" s="420"/>
      <c r="T352" s="420"/>
      <c r="U352" s="420"/>
      <c r="V352" s="420"/>
      <c r="W352" s="420"/>
      <c r="X352" s="420"/>
      <c r="Y352" s="420"/>
      <c r="Z352" s="383"/>
    </row>
    <row r="353" spans="1:26" ht="15">
      <c r="A353" s="420"/>
      <c r="B353" s="420"/>
      <c r="C353" s="420"/>
      <c r="D353" s="420"/>
      <c r="E353" s="420"/>
      <c r="F353" s="420"/>
      <c r="G353" s="420"/>
      <c r="H353" s="420"/>
      <c r="I353" s="420"/>
      <c r="J353" s="420"/>
      <c r="K353" s="420"/>
      <c r="L353" s="420"/>
      <c r="M353" s="420"/>
      <c r="N353" s="420"/>
      <c r="O353" s="420"/>
      <c r="P353" s="420"/>
      <c r="Q353" s="420"/>
      <c r="R353" s="420"/>
      <c r="S353" s="420"/>
      <c r="T353" s="420"/>
      <c r="U353" s="420"/>
      <c r="V353" s="420"/>
      <c r="W353" s="420"/>
      <c r="X353" s="420"/>
      <c r="Y353" s="420"/>
      <c r="Z353" s="383"/>
    </row>
    <row r="354" spans="1:26" ht="15">
      <c r="A354" s="420"/>
      <c r="B354" s="420"/>
      <c r="C354" s="420"/>
      <c r="D354" s="420"/>
      <c r="E354" s="420"/>
      <c r="F354" s="420"/>
      <c r="G354" s="420"/>
      <c r="H354" s="420"/>
      <c r="I354" s="420"/>
      <c r="J354" s="420"/>
      <c r="K354" s="420"/>
      <c r="L354" s="420"/>
      <c r="M354" s="420"/>
      <c r="N354" s="420"/>
      <c r="O354" s="420"/>
      <c r="P354" s="420"/>
      <c r="Q354" s="420"/>
      <c r="R354" s="420"/>
      <c r="S354" s="420"/>
      <c r="T354" s="420"/>
      <c r="U354" s="420"/>
      <c r="V354" s="420"/>
      <c r="W354" s="420"/>
      <c r="X354" s="420"/>
      <c r="Y354" s="420"/>
      <c r="Z354" s="383"/>
    </row>
    <row r="355" spans="1:26" ht="15">
      <c r="A355" s="420"/>
      <c r="B355" s="420"/>
      <c r="C355" s="420"/>
      <c r="D355" s="420"/>
      <c r="E355" s="420"/>
      <c r="F355" s="420"/>
      <c r="G355" s="420"/>
      <c r="H355" s="420"/>
      <c r="I355" s="420"/>
      <c r="J355" s="420"/>
      <c r="K355" s="420"/>
      <c r="L355" s="420"/>
      <c r="M355" s="420"/>
      <c r="N355" s="420"/>
      <c r="O355" s="420"/>
      <c r="P355" s="420"/>
      <c r="Q355" s="420"/>
      <c r="R355" s="420"/>
      <c r="S355" s="420"/>
      <c r="T355" s="420"/>
      <c r="U355" s="420"/>
      <c r="V355" s="420"/>
      <c r="W355" s="420"/>
      <c r="X355" s="420"/>
      <c r="Y355" s="420"/>
      <c r="Z355" s="383"/>
    </row>
    <row r="356" spans="1:26" ht="15">
      <c r="A356" s="420"/>
      <c r="B356" s="420"/>
      <c r="C356" s="420"/>
      <c r="D356" s="420"/>
      <c r="E356" s="420"/>
      <c r="F356" s="420"/>
      <c r="G356" s="420"/>
      <c r="H356" s="420"/>
      <c r="I356" s="420"/>
      <c r="J356" s="420"/>
      <c r="K356" s="420"/>
      <c r="L356" s="420"/>
      <c r="M356" s="420"/>
      <c r="N356" s="420"/>
      <c r="O356" s="420"/>
      <c r="P356" s="420"/>
      <c r="Q356" s="420"/>
      <c r="R356" s="420"/>
      <c r="S356" s="420"/>
      <c r="T356" s="420"/>
      <c r="U356" s="420"/>
      <c r="V356" s="420"/>
      <c r="W356" s="420"/>
      <c r="X356" s="420"/>
      <c r="Y356" s="420"/>
      <c r="Z356" s="383"/>
    </row>
    <row r="357" spans="1:26" ht="15">
      <c r="A357" s="420"/>
      <c r="B357" s="420"/>
      <c r="C357" s="420"/>
      <c r="D357" s="420"/>
      <c r="E357" s="420"/>
      <c r="F357" s="420"/>
      <c r="G357" s="420"/>
      <c r="H357" s="420"/>
      <c r="I357" s="420"/>
      <c r="J357" s="420"/>
      <c r="K357" s="420"/>
      <c r="L357" s="420"/>
      <c r="M357" s="420"/>
      <c r="N357" s="420"/>
      <c r="O357" s="420"/>
      <c r="P357" s="420"/>
      <c r="Q357" s="420"/>
      <c r="R357" s="420"/>
      <c r="S357" s="420"/>
      <c r="T357" s="420"/>
      <c r="U357" s="420"/>
      <c r="V357" s="420"/>
      <c r="W357" s="420"/>
      <c r="X357" s="420"/>
      <c r="Y357" s="420"/>
      <c r="Z357" s="383"/>
    </row>
    <row r="358" spans="1:26" ht="15">
      <c r="A358" s="420"/>
      <c r="B358" s="420"/>
      <c r="C358" s="420"/>
      <c r="D358" s="420"/>
      <c r="E358" s="420"/>
      <c r="F358" s="420"/>
      <c r="G358" s="420"/>
      <c r="H358" s="420"/>
      <c r="I358" s="420"/>
      <c r="J358" s="420"/>
      <c r="K358" s="420"/>
      <c r="L358" s="420"/>
      <c r="M358" s="420"/>
      <c r="N358" s="420"/>
      <c r="O358" s="420"/>
      <c r="P358" s="420"/>
      <c r="Q358" s="420"/>
      <c r="R358" s="420"/>
      <c r="S358" s="420"/>
      <c r="T358" s="420"/>
      <c r="U358" s="420"/>
      <c r="V358" s="420"/>
      <c r="W358" s="420"/>
      <c r="X358" s="420"/>
      <c r="Y358" s="420"/>
      <c r="Z358" s="383"/>
    </row>
    <row r="359" spans="1:26" ht="15">
      <c r="A359" s="420"/>
      <c r="B359" s="420"/>
      <c r="C359" s="420"/>
      <c r="D359" s="420"/>
      <c r="E359" s="420"/>
      <c r="F359" s="420"/>
      <c r="G359" s="420"/>
      <c r="H359" s="420"/>
      <c r="I359" s="420"/>
      <c r="J359" s="420"/>
      <c r="K359" s="420"/>
      <c r="L359" s="420"/>
      <c r="M359" s="420"/>
      <c r="N359" s="420"/>
      <c r="O359" s="420"/>
      <c r="P359" s="420"/>
      <c r="Q359" s="420"/>
      <c r="R359" s="420"/>
      <c r="S359" s="420"/>
      <c r="T359" s="420"/>
      <c r="U359" s="420"/>
      <c r="V359" s="420"/>
      <c r="W359" s="420"/>
      <c r="X359" s="420"/>
      <c r="Y359" s="420"/>
      <c r="Z359" s="383"/>
    </row>
    <row r="360" spans="1:26" ht="15">
      <c r="A360" s="420"/>
      <c r="B360" s="420"/>
      <c r="C360" s="420"/>
      <c r="D360" s="420"/>
      <c r="E360" s="420"/>
      <c r="F360" s="420"/>
      <c r="G360" s="420"/>
      <c r="H360" s="420"/>
      <c r="I360" s="420"/>
      <c r="J360" s="420"/>
      <c r="K360" s="420"/>
      <c r="L360" s="420"/>
      <c r="M360" s="420"/>
      <c r="N360" s="420"/>
      <c r="O360" s="420"/>
      <c r="P360" s="420"/>
      <c r="Q360" s="420"/>
      <c r="R360" s="420"/>
      <c r="S360" s="420"/>
      <c r="T360" s="420"/>
      <c r="U360" s="420"/>
      <c r="V360" s="420"/>
      <c r="W360" s="420"/>
      <c r="X360" s="420"/>
      <c r="Y360" s="420"/>
      <c r="Z360" s="383"/>
    </row>
    <row r="361" spans="1:26" ht="15">
      <c r="A361" s="420"/>
      <c r="B361" s="420"/>
      <c r="C361" s="420"/>
      <c r="D361" s="420"/>
      <c r="E361" s="420"/>
      <c r="F361" s="420"/>
      <c r="G361" s="420"/>
      <c r="H361" s="420"/>
      <c r="I361" s="420"/>
      <c r="J361" s="420"/>
      <c r="K361" s="420"/>
      <c r="L361" s="420"/>
      <c r="M361" s="420"/>
      <c r="N361" s="420"/>
      <c r="O361" s="420"/>
      <c r="P361" s="420"/>
      <c r="Q361" s="420"/>
      <c r="R361" s="420"/>
      <c r="S361" s="420"/>
      <c r="T361" s="420"/>
      <c r="U361" s="420"/>
      <c r="V361" s="420"/>
      <c r="W361" s="420"/>
      <c r="X361" s="420"/>
      <c r="Y361" s="420"/>
      <c r="Z361" s="383"/>
    </row>
    <row r="362" spans="1:26" ht="15">
      <c r="A362" s="420"/>
      <c r="B362" s="420"/>
      <c r="C362" s="420"/>
      <c r="D362" s="420"/>
      <c r="E362" s="420"/>
      <c r="F362" s="420"/>
      <c r="G362" s="420"/>
      <c r="H362" s="420"/>
      <c r="I362" s="420"/>
      <c r="J362" s="420"/>
      <c r="K362" s="420"/>
      <c r="L362" s="420"/>
      <c r="M362" s="420"/>
      <c r="N362" s="420"/>
      <c r="O362" s="420"/>
      <c r="P362" s="420"/>
      <c r="Q362" s="420"/>
      <c r="R362" s="420"/>
      <c r="S362" s="420"/>
      <c r="T362" s="420"/>
      <c r="U362" s="420"/>
      <c r="V362" s="420"/>
      <c r="W362" s="420"/>
      <c r="X362" s="420"/>
      <c r="Y362" s="420"/>
      <c r="Z362" s="383"/>
    </row>
    <row r="363" spans="1:26" ht="15">
      <c r="A363" s="420"/>
      <c r="B363" s="420"/>
      <c r="C363" s="420"/>
      <c r="D363" s="420"/>
      <c r="E363" s="420"/>
      <c r="F363" s="420"/>
      <c r="G363" s="420"/>
      <c r="H363" s="420"/>
      <c r="I363" s="420"/>
      <c r="J363" s="420"/>
      <c r="K363" s="420"/>
      <c r="L363" s="420"/>
      <c r="M363" s="420"/>
      <c r="N363" s="420"/>
      <c r="O363" s="420"/>
      <c r="P363" s="420"/>
      <c r="Q363" s="420"/>
      <c r="R363" s="420"/>
      <c r="S363" s="420"/>
      <c r="T363" s="420"/>
      <c r="U363" s="420"/>
      <c r="V363" s="420"/>
      <c r="W363" s="420"/>
      <c r="X363" s="420"/>
      <c r="Y363" s="420"/>
      <c r="Z363" s="383"/>
    </row>
    <row r="364" spans="1:26" ht="15">
      <c r="A364" s="420"/>
      <c r="B364" s="420"/>
      <c r="C364" s="420"/>
      <c r="D364" s="420"/>
      <c r="E364" s="420"/>
      <c r="F364" s="420"/>
      <c r="G364" s="420"/>
      <c r="H364" s="420"/>
      <c r="I364" s="420"/>
      <c r="J364" s="420"/>
      <c r="K364" s="420"/>
      <c r="L364" s="420"/>
      <c r="M364" s="420"/>
      <c r="N364" s="420"/>
      <c r="O364" s="420"/>
      <c r="P364" s="420"/>
      <c r="Q364" s="420"/>
      <c r="R364" s="420"/>
      <c r="S364" s="420"/>
      <c r="T364" s="420"/>
      <c r="U364" s="420"/>
      <c r="V364" s="420"/>
      <c r="W364" s="420"/>
      <c r="X364" s="420"/>
      <c r="Y364" s="420"/>
      <c r="Z364" s="383"/>
    </row>
    <row r="365" spans="1:26" ht="15">
      <c r="A365" s="420"/>
      <c r="B365" s="420"/>
      <c r="C365" s="420"/>
      <c r="D365" s="420"/>
      <c r="E365" s="420"/>
      <c r="F365" s="420"/>
      <c r="G365" s="420"/>
      <c r="H365" s="420"/>
      <c r="I365" s="420"/>
      <c r="J365" s="420"/>
      <c r="K365" s="420"/>
      <c r="L365" s="420"/>
      <c r="M365" s="420"/>
      <c r="N365" s="420"/>
      <c r="O365" s="420"/>
      <c r="P365" s="420"/>
      <c r="Q365" s="420"/>
      <c r="R365" s="420"/>
      <c r="S365" s="420"/>
      <c r="T365" s="420"/>
      <c r="U365" s="420"/>
      <c r="V365" s="420"/>
      <c r="W365" s="420"/>
      <c r="X365" s="420"/>
      <c r="Y365" s="420"/>
      <c r="Z365" s="383"/>
    </row>
    <row r="366" spans="1:26" ht="15">
      <c r="A366" s="420"/>
      <c r="B366" s="420"/>
      <c r="C366" s="420"/>
      <c r="D366" s="420"/>
      <c r="E366" s="420"/>
      <c r="F366" s="420"/>
      <c r="G366" s="420"/>
      <c r="H366" s="420"/>
      <c r="I366" s="420"/>
      <c r="J366" s="420"/>
      <c r="K366" s="420"/>
      <c r="L366" s="420"/>
      <c r="M366" s="420"/>
      <c r="N366" s="420"/>
      <c r="O366" s="420"/>
      <c r="P366" s="420"/>
      <c r="Q366" s="420"/>
      <c r="R366" s="420"/>
      <c r="S366" s="420"/>
      <c r="T366" s="420"/>
      <c r="U366" s="420"/>
      <c r="V366" s="420"/>
      <c r="W366" s="420"/>
      <c r="X366" s="420"/>
      <c r="Y366" s="420"/>
      <c r="Z366" s="383"/>
    </row>
    <row r="367" spans="1:26" ht="15">
      <c r="A367" s="420"/>
      <c r="B367" s="420"/>
      <c r="C367" s="420"/>
      <c r="D367" s="420"/>
      <c r="E367" s="420"/>
      <c r="F367" s="420"/>
      <c r="G367" s="420"/>
      <c r="H367" s="420"/>
      <c r="I367" s="420"/>
      <c r="J367" s="420"/>
      <c r="K367" s="420"/>
      <c r="L367" s="420"/>
      <c r="M367" s="420"/>
      <c r="N367" s="420"/>
      <c r="O367" s="420"/>
      <c r="P367" s="420"/>
      <c r="Q367" s="420"/>
      <c r="R367" s="420"/>
      <c r="S367" s="420"/>
      <c r="T367" s="420"/>
      <c r="U367" s="420"/>
      <c r="V367" s="420"/>
      <c r="W367" s="420"/>
      <c r="X367" s="420"/>
      <c r="Y367" s="420"/>
      <c r="Z367" s="383"/>
    </row>
    <row r="368" spans="1:26" ht="15">
      <c r="A368" s="420"/>
      <c r="B368" s="420"/>
      <c r="C368" s="420"/>
      <c r="D368" s="420"/>
      <c r="E368" s="420"/>
      <c r="F368" s="420"/>
      <c r="G368" s="420"/>
      <c r="H368" s="420"/>
      <c r="I368" s="420"/>
      <c r="J368" s="420"/>
      <c r="K368" s="420"/>
      <c r="L368" s="420"/>
      <c r="M368" s="420"/>
      <c r="N368" s="420"/>
      <c r="O368" s="420"/>
      <c r="P368" s="420"/>
      <c r="Q368" s="420"/>
      <c r="R368" s="420"/>
      <c r="S368" s="420"/>
      <c r="T368" s="420"/>
      <c r="U368" s="420"/>
      <c r="V368" s="420"/>
      <c r="W368" s="420"/>
      <c r="X368" s="420"/>
      <c r="Y368" s="420"/>
      <c r="Z368" s="383"/>
    </row>
    <row r="369" spans="1:26" ht="15">
      <c r="A369" s="420"/>
      <c r="B369" s="420"/>
      <c r="C369" s="420"/>
      <c r="D369" s="420"/>
      <c r="E369" s="420"/>
      <c r="F369" s="420"/>
      <c r="G369" s="420"/>
      <c r="H369" s="420"/>
      <c r="I369" s="420"/>
      <c r="J369" s="420"/>
      <c r="K369" s="420"/>
      <c r="L369" s="420"/>
      <c r="M369" s="420"/>
      <c r="N369" s="420"/>
      <c r="O369" s="420"/>
      <c r="P369" s="420"/>
      <c r="Q369" s="420"/>
      <c r="R369" s="420"/>
      <c r="S369" s="420"/>
      <c r="T369" s="420"/>
      <c r="U369" s="420"/>
      <c r="V369" s="420"/>
      <c r="W369" s="420"/>
      <c r="X369" s="420"/>
      <c r="Y369" s="420"/>
      <c r="Z369" s="383"/>
    </row>
    <row r="370" spans="1:26" ht="15">
      <c r="A370" s="420"/>
      <c r="B370" s="420"/>
      <c r="C370" s="420"/>
      <c r="D370" s="420"/>
      <c r="E370" s="420"/>
      <c r="F370" s="420"/>
      <c r="G370" s="420"/>
      <c r="H370" s="420"/>
      <c r="I370" s="420"/>
      <c r="J370" s="420"/>
      <c r="K370" s="420"/>
      <c r="L370" s="420"/>
      <c r="M370" s="420"/>
      <c r="N370" s="420"/>
      <c r="O370" s="420"/>
      <c r="P370" s="420"/>
      <c r="Q370" s="420"/>
      <c r="R370" s="420"/>
      <c r="S370" s="420"/>
      <c r="T370" s="420"/>
      <c r="U370" s="420"/>
      <c r="V370" s="420"/>
      <c r="W370" s="420"/>
      <c r="X370" s="420"/>
      <c r="Y370" s="420"/>
      <c r="Z370" s="383"/>
    </row>
    <row r="371" spans="1:26" ht="15">
      <c r="A371" s="420"/>
      <c r="B371" s="420"/>
      <c r="C371" s="420"/>
      <c r="D371" s="420"/>
      <c r="E371" s="420"/>
      <c r="F371" s="420"/>
      <c r="G371" s="420"/>
      <c r="H371" s="420"/>
      <c r="I371" s="420"/>
      <c r="J371" s="420"/>
      <c r="K371" s="420"/>
      <c r="L371" s="420"/>
      <c r="M371" s="420"/>
      <c r="N371" s="420"/>
      <c r="O371" s="420"/>
      <c r="P371" s="420"/>
      <c r="Q371" s="420"/>
      <c r="R371" s="420"/>
      <c r="S371" s="420"/>
      <c r="T371" s="420"/>
      <c r="U371" s="420"/>
      <c r="V371" s="420"/>
      <c r="W371" s="420"/>
      <c r="X371" s="420"/>
      <c r="Y371" s="420"/>
      <c r="Z371" s="383"/>
    </row>
    <row r="372" spans="1:26" ht="15">
      <c r="A372" s="420"/>
      <c r="B372" s="420"/>
      <c r="C372" s="420"/>
      <c r="D372" s="420"/>
      <c r="E372" s="420"/>
      <c r="F372" s="420"/>
      <c r="G372" s="420"/>
      <c r="H372" s="420"/>
      <c r="I372" s="420"/>
      <c r="J372" s="420"/>
      <c r="K372" s="420"/>
      <c r="L372" s="420"/>
      <c r="M372" s="420"/>
      <c r="N372" s="420"/>
      <c r="O372" s="420"/>
      <c r="P372" s="420"/>
      <c r="Q372" s="420"/>
      <c r="R372" s="420"/>
      <c r="S372" s="420"/>
      <c r="T372" s="420"/>
      <c r="U372" s="420"/>
      <c r="V372" s="420"/>
      <c r="W372" s="420"/>
      <c r="X372" s="420"/>
      <c r="Y372" s="420"/>
      <c r="Z372" s="383"/>
    </row>
    <row r="373" spans="1:26" ht="15">
      <c r="A373" s="420"/>
      <c r="B373" s="420"/>
      <c r="C373" s="420"/>
      <c r="D373" s="420"/>
      <c r="E373" s="420"/>
      <c r="F373" s="420"/>
      <c r="G373" s="420"/>
      <c r="H373" s="420"/>
      <c r="I373" s="420"/>
      <c r="J373" s="420"/>
      <c r="K373" s="420"/>
      <c r="L373" s="420"/>
      <c r="M373" s="420"/>
      <c r="N373" s="420"/>
      <c r="O373" s="420"/>
      <c r="P373" s="420"/>
      <c r="Q373" s="420"/>
      <c r="R373" s="420"/>
      <c r="S373" s="420"/>
      <c r="T373" s="420"/>
      <c r="U373" s="420"/>
      <c r="V373" s="420"/>
      <c r="W373" s="420"/>
      <c r="X373" s="420"/>
      <c r="Y373" s="420"/>
      <c r="Z373" s="383"/>
    </row>
    <row r="374" spans="1:26" ht="15">
      <c r="A374" s="420"/>
      <c r="B374" s="420"/>
      <c r="C374" s="420"/>
      <c r="D374" s="420"/>
      <c r="E374" s="420"/>
      <c r="F374" s="420"/>
      <c r="G374" s="420"/>
      <c r="H374" s="420"/>
      <c r="I374" s="420"/>
      <c r="J374" s="420"/>
      <c r="K374" s="420"/>
      <c r="L374" s="420"/>
      <c r="M374" s="420"/>
      <c r="N374" s="420"/>
      <c r="O374" s="420"/>
      <c r="P374" s="420"/>
      <c r="Q374" s="420"/>
      <c r="R374" s="420"/>
      <c r="S374" s="420"/>
      <c r="T374" s="420"/>
      <c r="U374" s="420"/>
      <c r="V374" s="420"/>
      <c r="W374" s="420"/>
      <c r="X374" s="420"/>
      <c r="Y374" s="420"/>
      <c r="Z374" s="383"/>
    </row>
    <row r="375" spans="1:26" ht="15">
      <c r="A375" s="420"/>
      <c r="B375" s="420"/>
      <c r="C375" s="420"/>
      <c r="D375" s="420"/>
      <c r="E375" s="420"/>
      <c r="F375" s="420"/>
      <c r="G375" s="420"/>
      <c r="H375" s="420"/>
      <c r="I375" s="420"/>
      <c r="J375" s="420"/>
      <c r="K375" s="420"/>
      <c r="L375" s="420"/>
      <c r="M375" s="420"/>
      <c r="N375" s="420"/>
      <c r="O375" s="420"/>
      <c r="P375" s="420"/>
      <c r="Q375" s="420"/>
      <c r="R375" s="420"/>
      <c r="S375" s="420"/>
      <c r="T375" s="420"/>
      <c r="U375" s="420"/>
      <c r="V375" s="420"/>
      <c r="W375" s="420"/>
      <c r="X375" s="420"/>
      <c r="Y375" s="420"/>
      <c r="Z375" s="383"/>
    </row>
    <row r="376" spans="1:26" ht="15">
      <c r="A376" s="420"/>
      <c r="B376" s="420"/>
      <c r="C376" s="420"/>
      <c r="D376" s="420"/>
      <c r="E376" s="420"/>
      <c r="F376" s="420"/>
      <c r="G376" s="420"/>
      <c r="H376" s="420"/>
      <c r="I376" s="420"/>
      <c r="J376" s="420"/>
      <c r="K376" s="420"/>
      <c r="L376" s="420"/>
      <c r="M376" s="420"/>
      <c r="N376" s="420"/>
      <c r="O376" s="420"/>
      <c r="P376" s="420"/>
      <c r="Q376" s="420"/>
      <c r="R376" s="420"/>
      <c r="S376" s="420"/>
      <c r="T376" s="420"/>
      <c r="U376" s="420"/>
      <c r="V376" s="420"/>
      <c r="W376" s="420"/>
      <c r="X376" s="420"/>
      <c r="Y376" s="420"/>
      <c r="Z376" s="383"/>
    </row>
    <row r="377" spans="1:26" ht="15">
      <c r="A377" s="420"/>
      <c r="B377" s="420"/>
      <c r="C377" s="420"/>
      <c r="D377" s="420"/>
      <c r="E377" s="420"/>
      <c r="F377" s="420"/>
      <c r="G377" s="420"/>
      <c r="H377" s="420"/>
      <c r="I377" s="420"/>
      <c r="J377" s="420"/>
      <c r="K377" s="420"/>
      <c r="L377" s="420"/>
      <c r="M377" s="420"/>
      <c r="N377" s="420"/>
      <c r="O377" s="420"/>
      <c r="P377" s="420"/>
      <c r="Q377" s="420"/>
      <c r="R377" s="420"/>
      <c r="S377" s="420"/>
      <c r="T377" s="420"/>
      <c r="U377" s="420"/>
      <c r="V377" s="420"/>
      <c r="W377" s="420"/>
      <c r="X377" s="420"/>
      <c r="Y377" s="420"/>
      <c r="Z377" s="383"/>
    </row>
    <row r="378" spans="1:26" ht="15">
      <c r="A378" s="420"/>
      <c r="B378" s="420"/>
      <c r="C378" s="420"/>
      <c r="D378" s="420"/>
      <c r="E378" s="420"/>
      <c r="F378" s="420"/>
      <c r="G378" s="420"/>
      <c r="H378" s="420"/>
      <c r="I378" s="420"/>
      <c r="J378" s="420"/>
      <c r="K378" s="420"/>
      <c r="L378" s="420"/>
      <c r="M378" s="420"/>
      <c r="N378" s="420"/>
      <c r="O378" s="420"/>
      <c r="P378" s="420"/>
      <c r="Q378" s="420"/>
      <c r="R378" s="420"/>
      <c r="S378" s="420"/>
      <c r="T378" s="420"/>
      <c r="U378" s="420"/>
      <c r="V378" s="420"/>
      <c r="W378" s="420"/>
      <c r="X378" s="420"/>
      <c r="Y378" s="420"/>
      <c r="Z378" s="383"/>
    </row>
    <row r="379" spans="1:26" ht="15">
      <c r="A379" s="420"/>
      <c r="B379" s="420"/>
      <c r="C379" s="420"/>
      <c r="D379" s="420"/>
      <c r="E379" s="420"/>
      <c r="F379" s="420"/>
      <c r="G379" s="420"/>
      <c r="H379" s="420"/>
      <c r="I379" s="420"/>
      <c r="J379" s="420"/>
      <c r="K379" s="420"/>
      <c r="L379" s="420"/>
      <c r="M379" s="420"/>
      <c r="N379" s="420"/>
      <c r="O379" s="420"/>
      <c r="P379" s="420"/>
      <c r="Q379" s="420"/>
      <c r="R379" s="420"/>
      <c r="S379" s="420"/>
      <c r="T379" s="420"/>
      <c r="U379" s="420"/>
      <c r="V379" s="420"/>
      <c r="W379" s="420"/>
      <c r="X379" s="420"/>
      <c r="Y379" s="420"/>
      <c r="Z379" s="383"/>
    </row>
    <row r="380" spans="1:26" ht="15">
      <c r="A380" s="420"/>
      <c r="B380" s="420"/>
      <c r="C380" s="420"/>
      <c r="D380" s="420"/>
      <c r="E380" s="420"/>
      <c r="F380" s="420"/>
      <c r="G380" s="420"/>
      <c r="H380" s="420"/>
      <c r="I380" s="420"/>
      <c r="J380" s="420"/>
      <c r="K380" s="420"/>
      <c r="L380" s="420"/>
      <c r="M380" s="420"/>
      <c r="N380" s="420"/>
      <c r="O380" s="420"/>
      <c r="P380" s="420"/>
      <c r="Q380" s="420"/>
      <c r="R380" s="420"/>
      <c r="S380" s="420"/>
      <c r="T380" s="420"/>
      <c r="U380" s="420"/>
      <c r="V380" s="420"/>
      <c r="W380" s="420"/>
      <c r="X380" s="420"/>
      <c r="Y380" s="420"/>
      <c r="Z380" s="383"/>
    </row>
    <row r="381" spans="1:26" ht="15">
      <c r="A381" s="420"/>
      <c r="B381" s="420"/>
      <c r="C381" s="420"/>
      <c r="D381" s="420"/>
      <c r="E381" s="420"/>
      <c r="F381" s="420"/>
      <c r="G381" s="420"/>
      <c r="H381" s="420"/>
      <c r="I381" s="420"/>
      <c r="J381" s="420"/>
      <c r="K381" s="420"/>
      <c r="L381" s="420"/>
      <c r="M381" s="420"/>
      <c r="N381" s="420"/>
      <c r="O381" s="420"/>
      <c r="P381" s="420"/>
      <c r="Q381" s="420"/>
      <c r="R381" s="420"/>
      <c r="S381" s="420"/>
      <c r="T381" s="420"/>
      <c r="U381" s="420"/>
      <c r="V381" s="420"/>
      <c r="W381" s="420"/>
      <c r="X381" s="420"/>
      <c r="Y381" s="420"/>
      <c r="Z381" s="383"/>
    </row>
    <row r="382" spans="1:26" ht="15">
      <c r="A382" s="420"/>
      <c r="B382" s="420"/>
      <c r="C382" s="420"/>
      <c r="D382" s="420"/>
      <c r="E382" s="420"/>
      <c r="F382" s="420"/>
      <c r="G382" s="420"/>
      <c r="H382" s="420"/>
      <c r="I382" s="420"/>
      <c r="J382" s="420"/>
      <c r="K382" s="420"/>
      <c r="L382" s="420"/>
      <c r="M382" s="420"/>
      <c r="N382" s="420"/>
      <c r="O382" s="420"/>
      <c r="P382" s="420"/>
      <c r="Q382" s="420"/>
      <c r="R382" s="420"/>
      <c r="S382" s="420"/>
      <c r="T382" s="420"/>
      <c r="U382" s="420"/>
      <c r="V382" s="420"/>
      <c r="W382" s="420"/>
      <c r="X382" s="420"/>
      <c r="Y382" s="420"/>
      <c r="Z382" s="383"/>
    </row>
    <row r="383" spans="1:26" ht="15">
      <c r="A383" s="420"/>
      <c r="B383" s="420"/>
      <c r="C383" s="420"/>
      <c r="D383" s="420"/>
      <c r="E383" s="420"/>
      <c r="F383" s="420"/>
      <c r="G383" s="420"/>
      <c r="H383" s="420"/>
      <c r="I383" s="420"/>
      <c r="J383" s="420"/>
      <c r="K383" s="420"/>
      <c r="L383" s="420"/>
      <c r="M383" s="420"/>
      <c r="N383" s="420"/>
      <c r="O383" s="420"/>
      <c r="P383" s="420"/>
      <c r="Q383" s="420"/>
      <c r="R383" s="420"/>
      <c r="S383" s="420"/>
      <c r="T383" s="420"/>
      <c r="U383" s="420"/>
      <c r="V383" s="420"/>
      <c r="W383" s="420"/>
      <c r="X383" s="420"/>
      <c r="Y383" s="420"/>
      <c r="Z383" s="383"/>
    </row>
    <row r="384" spans="1:26" ht="15">
      <c r="A384" s="420"/>
      <c r="B384" s="420"/>
      <c r="C384" s="420"/>
      <c r="D384" s="420"/>
      <c r="E384" s="420"/>
      <c r="F384" s="420"/>
      <c r="G384" s="420"/>
      <c r="H384" s="420"/>
      <c r="I384" s="420"/>
      <c r="J384" s="420"/>
      <c r="K384" s="420"/>
      <c r="L384" s="420"/>
      <c r="M384" s="420"/>
      <c r="N384" s="420"/>
      <c r="O384" s="420"/>
      <c r="P384" s="420"/>
      <c r="Q384" s="420"/>
      <c r="R384" s="420"/>
      <c r="S384" s="420"/>
      <c r="T384" s="420"/>
      <c r="U384" s="420"/>
      <c r="V384" s="420"/>
      <c r="W384" s="420"/>
      <c r="X384" s="420"/>
      <c r="Y384" s="420"/>
      <c r="Z384" s="383"/>
    </row>
    <row r="385" spans="1:26" ht="15">
      <c r="A385" s="420"/>
      <c r="B385" s="420"/>
      <c r="C385" s="420"/>
      <c r="D385" s="420"/>
      <c r="E385" s="420"/>
      <c r="F385" s="420"/>
      <c r="G385" s="420"/>
      <c r="H385" s="420"/>
      <c r="I385" s="420"/>
      <c r="J385" s="420"/>
      <c r="K385" s="420"/>
      <c r="L385" s="420"/>
      <c r="M385" s="420"/>
      <c r="N385" s="420"/>
      <c r="O385" s="420"/>
      <c r="P385" s="420"/>
      <c r="Q385" s="420"/>
      <c r="R385" s="420"/>
      <c r="S385" s="420"/>
      <c r="T385" s="420"/>
      <c r="U385" s="420"/>
      <c r="V385" s="420"/>
      <c r="W385" s="420"/>
      <c r="X385" s="420"/>
      <c r="Y385" s="420"/>
      <c r="Z385" s="383"/>
    </row>
    <row r="386" spans="1:26" ht="15">
      <c r="A386" s="420"/>
      <c r="B386" s="420"/>
      <c r="C386" s="420"/>
      <c r="D386" s="420"/>
      <c r="E386" s="420"/>
      <c r="F386" s="420"/>
      <c r="G386" s="420"/>
      <c r="H386" s="420"/>
      <c r="I386" s="420"/>
      <c r="J386" s="420"/>
      <c r="K386" s="420"/>
      <c r="L386" s="420"/>
      <c r="M386" s="420"/>
      <c r="N386" s="420"/>
      <c r="O386" s="420"/>
      <c r="P386" s="420"/>
      <c r="Q386" s="420"/>
      <c r="R386" s="420"/>
      <c r="S386" s="420"/>
      <c r="T386" s="420"/>
      <c r="U386" s="420"/>
      <c r="V386" s="420"/>
      <c r="W386" s="420"/>
      <c r="X386" s="420"/>
      <c r="Y386" s="420"/>
      <c r="Z386" s="383"/>
    </row>
    <row r="387" spans="1:26" ht="15">
      <c r="A387" s="420"/>
      <c r="B387" s="420"/>
      <c r="C387" s="420"/>
      <c r="D387" s="420"/>
      <c r="E387" s="420"/>
      <c r="F387" s="420"/>
      <c r="G387" s="420"/>
      <c r="H387" s="420"/>
      <c r="I387" s="420"/>
      <c r="J387" s="420"/>
      <c r="K387" s="420"/>
      <c r="L387" s="420"/>
      <c r="M387" s="420"/>
      <c r="N387" s="420"/>
      <c r="O387" s="420"/>
      <c r="P387" s="420"/>
      <c r="Q387" s="420"/>
      <c r="R387" s="420"/>
      <c r="S387" s="420"/>
      <c r="T387" s="420"/>
      <c r="U387" s="420"/>
      <c r="V387" s="420"/>
      <c r="W387" s="420"/>
      <c r="X387" s="420"/>
      <c r="Y387" s="420"/>
      <c r="Z387" s="383"/>
    </row>
    <row r="388" spans="1:26" ht="15">
      <c r="A388" s="420"/>
      <c r="B388" s="420"/>
      <c r="C388" s="420"/>
      <c r="D388" s="420"/>
      <c r="E388" s="420"/>
      <c r="F388" s="420"/>
      <c r="G388" s="420"/>
      <c r="H388" s="420"/>
      <c r="I388" s="420"/>
      <c r="J388" s="420"/>
      <c r="K388" s="420"/>
      <c r="L388" s="420"/>
      <c r="M388" s="420"/>
      <c r="N388" s="420"/>
      <c r="O388" s="420"/>
      <c r="P388" s="420"/>
      <c r="Q388" s="420"/>
      <c r="R388" s="420"/>
      <c r="S388" s="420"/>
      <c r="T388" s="420"/>
      <c r="U388" s="420"/>
      <c r="V388" s="420"/>
      <c r="W388" s="420"/>
      <c r="X388" s="420"/>
      <c r="Y388" s="420"/>
      <c r="Z388" s="383"/>
    </row>
    <row r="389" spans="1:26" ht="15">
      <c r="A389" s="420"/>
      <c r="B389" s="420"/>
      <c r="C389" s="420"/>
      <c r="D389" s="420"/>
      <c r="E389" s="420"/>
      <c r="F389" s="420"/>
      <c r="G389" s="420"/>
      <c r="H389" s="420"/>
      <c r="I389" s="420"/>
      <c r="J389" s="420"/>
      <c r="K389" s="420"/>
      <c r="L389" s="420"/>
      <c r="M389" s="420"/>
      <c r="N389" s="420"/>
      <c r="O389" s="420"/>
      <c r="P389" s="420"/>
      <c r="Q389" s="420"/>
      <c r="R389" s="420"/>
      <c r="S389" s="420"/>
      <c r="T389" s="420"/>
      <c r="U389" s="420"/>
      <c r="V389" s="420"/>
      <c r="W389" s="420"/>
      <c r="X389" s="420"/>
      <c r="Y389" s="420"/>
      <c r="Z389" s="383"/>
    </row>
    <row r="390" spans="1:26" ht="15">
      <c r="A390" s="420"/>
      <c r="B390" s="420"/>
      <c r="C390" s="420"/>
      <c r="D390" s="420"/>
      <c r="E390" s="420"/>
      <c r="F390" s="420"/>
      <c r="G390" s="420"/>
      <c r="H390" s="420"/>
      <c r="I390" s="420"/>
      <c r="J390" s="420"/>
      <c r="K390" s="420"/>
      <c r="L390" s="420"/>
      <c r="M390" s="420"/>
      <c r="N390" s="420"/>
      <c r="O390" s="420"/>
      <c r="P390" s="420"/>
      <c r="Q390" s="420"/>
      <c r="R390" s="420"/>
      <c r="S390" s="420"/>
      <c r="T390" s="420"/>
      <c r="U390" s="420"/>
      <c r="V390" s="420"/>
      <c r="W390" s="420"/>
      <c r="X390" s="420"/>
      <c r="Y390" s="420"/>
      <c r="Z390" s="383"/>
    </row>
    <row r="391" spans="1:26" ht="15">
      <c r="A391" s="420"/>
      <c r="B391" s="420"/>
      <c r="C391" s="420"/>
      <c r="D391" s="420"/>
      <c r="E391" s="420"/>
      <c r="F391" s="420"/>
      <c r="G391" s="420"/>
      <c r="H391" s="420"/>
      <c r="I391" s="420"/>
      <c r="J391" s="420"/>
      <c r="K391" s="420"/>
      <c r="L391" s="420"/>
      <c r="M391" s="420"/>
      <c r="N391" s="420"/>
      <c r="O391" s="420"/>
      <c r="P391" s="420"/>
      <c r="Q391" s="420"/>
      <c r="R391" s="420"/>
      <c r="S391" s="420"/>
      <c r="T391" s="420"/>
      <c r="U391" s="420"/>
      <c r="V391" s="420"/>
      <c r="W391" s="420"/>
      <c r="X391" s="420"/>
      <c r="Y391" s="420"/>
      <c r="Z391" s="383"/>
    </row>
    <row r="392" spans="1:26" ht="15">
      <c r="A392" s="420"/>
      <c r="B392" s="420"/>
      <c r="C392" s="420"/>
      <c r="D392" s="420"/>
      <c r="E392" s="420"/>
      <c r="F392" s="420"/>
      <c r="G392" s="420"/>
      <c r="H392" s="420"/>
      <c r="I392" s="420"/>
      <c r="J392" s="420"/>
      <c r="K392" s="420"/>
      <c r="L392" s="420"/>
      <c r="M392" s="420"/>
      <c r="N392" s="420"/>
      <c r="O392" s="420"/>
      <c r="P392" s="420"/>
      <c r="Q392" s="420"/>
      <c r="R392" s="420"/>
      <c r="S392" s="420"/>
      <c r="T392" s="420"/>
      <c r="U392" s="420"/>
      <c r="V392" s="420"/>
      <c r="W392" s="420"/>
      <c r="X392" s="420"/>
      <c r="Y392" s="420"/>
      <c r="Z392" s="383"/>
    </row>
    <row r="393" spans="1:26" ht="15">
      <c r="A393" s="420"/>
      <c r="B393" s="420"/>
      <c r="C393" s="420"/>
      <c r="D393" s="420"/>
      <c r="E393" s="420"/>
      <c r="F393" s="420"/>
      <c r="G393" s="420"/>
      <c r="H393" s="420"/>
      <c r="I393" s="420"/>
      <c r="J393" s="420"/>
      <c r="K393" s="420"/>
      <c r="L393" s="420"/>
      <c r="M393" s="420"/>
      <c r="N393" s="420"/>
      <c r="O393" s="420"/>
      <c r="P393" s="420"/>
      <c r="Q393" s="420"/>
      <c r="R393" s="420"/>
      <c r="S393" s="420"/>
      <c r="T393" s="420"/>
      <c r="U393" s="420"/>
      <c r="V393" s="420"/>
      <c r="W393" s="420"/>
      <c r="X393" s="420"/>
      <c r="Y393" s="420"/>
      <c r="Z393" s="383"/>
    </row>
    <row r="394" spans="1:26" ht="15">
      <c r="A394" s="420"/>
      <c r="B394" s="420"/>
      <c r="C394" s="420"/>
      <c r="D394" s="420"/>
      <c r="E394" s="420"/>
      <c r="F394" s="420"/>
      <c r="G394" s="420"/>
      <c r="H394" s="420"/>
      <c r="I394" s="420"/>
      <c r="J394" s="420"/>
      <c r="K394" s="420"/>
      <c r="L394" s="420"/>
      <c r="M394" s="420"/>
      <c r="N394" s="420"/>
      <c r="O394" s="420"/>
      <c r="P394" s="420"/>
      <c r="Q394" s="420"/>
      <c r="R394" s="420"/>
      <c r="S394" s="420"/>
      <c r="T394" s="420"/>
      <c r="U394" s="420"/>
      <c r="V394" s="420"/>
      <c r="W394" s="420"/>
      <c r="X394" s="420"/>
      <c r="Y394" s="420"/>
      <c r="Z394" s="383"/>
    </row>
    <row r="395" spans="1:26" ht="15">
      <c r="A395" s="420"/>
      <c r="B395" s="420"/>
      <c r="C395" s="420"/>
      <c r="D395" s="420"/>
      <c r="E395" s="420"/>
      <c r="F395" s="420"/>
      <c r="G395" s="420"/>
      <c r="H395" s="420"/>
      <c r="I395" s="420"/>
      <c r="J395" s="420"/>
      <c r="K395" s="420"/>
      <c r="L395" s="420"/>
      <c r="M395" s="420"/>
      <c r="N395" s="420"/>
      <c r="O395" s="420"/>
      <c r="P395" s="420"/>
      <c r="Q395" s="420"/>
      <c r="R395" s="420"/>
      <c r="S395" s="420"/>
      <c r="T395" s="420"/>
      <c r="U395" s="420"/>
      <c r="V395" s="420"/>
      <c r="W395" s="420"/>
      <c r="X395" s="420"/>
      <c r="Y395" s="420"/>
      <c r="Z395" s="383"/>
    </row>
    <row r="396" spans="1:26" ht="15">
      <c r="A396" s="420"/>
      <c r="B396" s="420"/>
      <c r="C396" s="420"/>
      <c r="D396" s="420"/>
      <c r="E396" s="420"/>
      <c r="F396" s="420"/>
      <c r="G396" s="420"/>
      <c r="H396" s="420"/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383"/>
    </row>
    <row r="397" spans="1:26" ht="15">
      <c r="A397" s="420"/>
      <c r="B397" s="420"/>
      <c r="C397" s="420"/>
      <c r="D397" s="420"/>
      <c r="E397" s="420"/>
      <c r="F397" s="420"/>
      <c r="G397" s="420"/>
      <c r="H397" s="420"/>
      <c r="I397" s="420"/>
      <c r="J397" s="420"/>
      <c r="K397" s="420"/>
      <c r="L397" s="420"/>
      <c r="M397" s="420"/>
      <c r="N397" s="420"/>
      <c r="O397" s="420"/>
      <c r="P397" s="420"/>
      <c r="Q397" s="420"/>
      <c r="R397" s="420"/>
      <c r="S397" s="420"/>
      <c r="T397" s="420"/>
      <c r="U397" s="420"/>
      <c r="V397" s="420"/>
      <c r="W397" s="420"/>
      <c r="X397" s="420"/>
      <c r="Y397" s="420"/>
      <c r="Z397" s="383"/>
    </row>
    <row r="398" spans="1:26" ht="15">
      <c r="A398" s="420"/>
      <c r="B398" s="420"/>
      <c r="C398" s="420"/>
      <c r="D398" s="420"/>
      <c r="E398" s="420"/>
      <c r="F398" s="420"/>
      <c r="G398" s="420"/>
      <c r="H398" s="420"/>
      <c r="I398" s="420"/>
      <c r="J398" s="420"/>
      <c r="K398" s="420"/>
      <c r="L398" s="420"/>
      <c r="M398" s="420"/>
      <c r="N398" s="420"/>
      <c r="O398" s="420"/>
      <c r="P398" s="420"/>
      <c r="Q398" s="420"/>
      <c r="R398" s="420"/>
      <c r="S398" s="420"/>
      <c r="T398" s="420"/>
      <c r="U398" s="420"/>
      <c r="V398" s="420"/>
      <c r="W398" s="420"/>
      <c r="X398" s="420"/>
      <c r="Y398" s="420"/>
      <c r="Z398" s="383"/>
    </row>
    <row r="399" spans="1:26" ht="15">
      <c r="A399" s="420"/>
      <c r="B399" s="420"/>
      <c r="C399" s="420"/>
      <c r="D399" s="420"/>
      <c r="E399" s="420"/>
      <c r="F399" s="420"/>
      <c r="G399" s="420"/>
      <c r="H399" s="420"/>
      <c r="I399" s="420"/>
      <c r="J399" s="420"/>
      <c r="K399" s="420"/>
      <c r="L399" s="420"/>
      <c r="M399" s="420"/>
      <c r="N399" s="420"/>
      <c r="O399" s="420"/>
      <c r="P399" s="420"/>
      <c r="Q399" s="420"/>
      <c r="R399" s="420"/>
      <c r="S399" s="420"/>
      <c r="T399" s="420"/>
      <c r="U399" s="420"/>
      <c r="V399" s="420"/>
      <c r="W399" s="420"/>
      <c r="X399" s="420"/>
      <c r="Y399" s="420"/>
      <c r="Z399" s="383"/>
    </row>
    <row r="400" spans="1:26" ht="15">
      <c r="A400" s="420"/>
      <c r="B400" s="420"/>
      <c r="C400" s="420"/>
      <c r="D400" s="420"/>
      <c r="E400" s="420"/>
      <c r="F400" s="420"/>
      <c r="G400" s="420"/>
      <c r="H400" s="420"/>
      <c r="I400" s="420"/>
      <c r="J400" s="420"/>
      <c r="K400" s="420"/>
      <c r="L400" s="420"/>
      <c r="M400" s="420"/>
      <c r="N400" s="420"/>
      <c r="O400" s="420"/>
      <c r="P400" s="420"/>
      <c r="Q400" s="420"/>
      <c r="R400" s="420"/>
      <c r="S400" s="420"/>
      <c r="T400" s="420"/>
      <c r="U400" s="420"/>
      <c r="V400" s="420"/>
      <c r="W400" s="420"/>
      <c r="X400" s="420"/>
      <c r="Y400" s="420"/>
      <c r="Z400" s="383"/>
    </row>
    <row r="401" spans="1:26" ht="15">
      <c r="A401" s="420"/>
      <c r="B401" s="420"/>
      <c r="C401" s="420"/>
      <c r="D401" s="420"/>
      <c r="E401" s="420"/>
      <c r="F401" s="420"/>
      <c r="G401" s="420"/>
      <c r="H401" s="420"/>
      <c r="I401" s="420"/>
      <c r="J401" s="420"/>
      <c r="K401" s="420"/>
      <c r="L401" s="420"/>
      <c r="M401" s="420"/>
      <c r="N401" s="420"/>
      <c r="O401" s="420"/>
      <c r="P401" s="420"/>
      <c r="Q401" s="420"/>
      <c r="R401" s="420"/>
      <c r="S401" s="420"/>
      <c r="T401" s="420"/>
      <c r="U401" s="420"/>
      <c r="V401" s="420"/>
      <c r="W401" s="420"/>
      <c r="X401" s="420"/>
      <c r="Y401" s="420"/>
      <c r="Z401" s="383"/>
    </row>
    <row r="402" spans="1:26" ht="15">
      <c r="A402" s="420"/>
      <c r="B402" s="420"/>
      <c r="C402" s="420"/>
      <c r="D402" s="420"/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0"/>
      <c r="Q402" s="420"/>
      <c r="R402" s="420"/>
      <c r="S402" s="420"/>
      <c r="T402" s="420"/>
      <c r="U402" s="420"/>
      <c r="V402" s="420"/>
      <c r="W402" s="420"/>
      <c r="X402" s="420"/>
      <c r="Y402" s="420"/>
      <c r="Z402" s="383"/>
    </row>
    <row r="403" spans="1:26" ht="15">
      <c r="A403" s="420"/>
      <c r="B403" s="420"/>
      <c r="C403" s="420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0"/>
      <c r="Q403" s="420"/>
      <c r="R403" s="420"/>
      <c r="S403" s="420"/>
      <c r="T403" s="420"/>
      <c r="U403" s="420"/>
      <c r="V403" s="420"/>
      <c r="W403" s="420"/>
      <c r="X403" s="420"/>
      <c r="Y403" s="420"/>
      <c r="Z403" s="383"/>
    </row>
    <row r="404" spans="1:26" ht="15">
      <c r="A404" s="420"/>
      <c r="B404" s="420"/>
      <c r="C404" s="420"/>
      <c r="D404" s="420"/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0"/>
      <c r="Q404" s="420"/>
      <c r="R404" s="420"/>
      <c r="S404" s="420"/>
      <c r="T404" s="420"/>
      <c r="U404" s="420"/>
      <c r="V404" s="420"/>
      <c r="W404" s="420"/>
      <c r="X404" s="420"/>
      <c r="Y404" s="420"/>
      <c r="Z404" s="383"/>
    </row>
    <row r="405" spans="1:26" ht="15">
      <c r="A405" s="420"/>
      <c r="B405" s="420"/>
      <c r="C405" s="420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0"/>
      <c r="Q405" s="420"/>
      <c r="R405" s="420"/>
      <c r="S405" s="420"/>
      <c r="T405" s="420"/>
      <c r="U405" s="420"/>
      <c r="V405" s="420"/>
      <c r="W405" s="420"/>
      <c r="X405" s="420"/>
      <c r="Y405" s="420"/>
      <c r="Z405" s="383"/>
    </row>
    <row r="406" spans="1:26" ht="15">
      <c r="A406" s="420"/>
      <c r="B406" s="420"/>
      <c r="C406" s="420"/>
      <c r="D406" s="420"/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0"/>
      <c r="Q406" s="420"/>
      <c r="R406" s="420"/>
      <c r="S406" s="420"/>
      <c r="T406" s="420"/>
      <c r="U406" s="420"/>
      <c r="V406" s="420"/>
      <c r="W406" s="420"/>
      <c r="X406" s="420"/>
      <c r="Y406" s="420"/>
      <c r="Z406" s="383"/>
    </row>
    <row r="407" spans="1:26" ht="15">
      <c r="A407" s="420"/>
      <c r="B407" s="420"/>
      <c r="C407" s="420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0"/>
      <c r="Q407" s="420"/>
      <c r="R407" s="420"/>
      <c r="S407" s="420"/>
      <c r="T407" s="420"/>
      <c r="U407" s="420"/>
      <c r="V407" s="420"/>
      <c r="W407" s="420"/>
      <c r="X407" s="420"/>
      <c r="Y407" s="420"/>
      <c r="Z407" s="383"/>
    </row>
    <row r="408" spans="1:26" ht="15">
      <c r="A408" s="420"/>
      <c r="B408" s="420"/>
      <c r="C408" s="420"/>
      <c r="D408" s="420"/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0"/>
      <c r="Q408" s="420"/>
      <c r="R408" s="420"/>
      <c r="S408" s="420"/>
      <c r="T408" s="420"/>
      <c r="U408" s="420"/>
      <c r="V408" s="420"/>
      <c r="W408" s="420"/>
      <c r="X408" s="420"/>
      <c r="Y408" s="420"/>
      <c r="Z408" s="383"/>
    </row>
    <row r="409" spans="1:26" ht="15">
      <c r="A409" s="420"/>
      <c r="B409" s="420"/>
      <c r="C409" s="420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0"/>
      <c r="Q409" s="420"/>
      <c r="R409" s="420"/>
      <c r="S409" s="420"/>
      <c r="T409" s="420"/>
      <c r="U409" s="420"/>
      <c r="V409" s="420"/>
      <c r="W409" s="420"/>
      <c r="X409" s="420"/>
      <c r="Y409" s="420"/>
      <c r="Z409" s="383"/>
    </row>
    <row r="410" spans="1:26" ht="15">
      <c r="A410" s="420"/>
      <c r="B410" s="420"/>
      <c r="C410" s="420"/>
      <c r="D410" s="420"/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0"/>
      <c r="Q410" s="420"/>
      <c r="R410" s="420"/>
      <c r="S410" s="420"/>
      <c r="T410" s="420"/>
      <c r="U410" s="420"/>
      <c r="V410" s="420"/>
      <c r="W410" s="420"/>
      <c r="X410" s="420"/>
      <c r="Y410" s="420"/>
      <c r="Z410" s="383"/>
    </row>
    <row r="411" spans="1:26" ht="15">
      <c r="A411" s="420"/>
      <c r="B411" s="420"/>
      <c r="C411" s="420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0"/>
      <c r="Q411" s="420"/>
      <c r="R411" s="420"/>
      <c r="S411" s="420"/>
      <c r="T411" s="420"/>
      <c r="U411" s="420"/>
      <c r="V411" s="420"/>
      <c r="W411" s="420"/>
      <c r="X411" s="420"/>
      <c r="Y411" s="420"/>
      <c r="Z411" s="383"/>
    </row>
    <row r="412" spans="1:26" ht="15">
      <c r="A412" s="420"/>
      <c r="B412" s="420"/>
      <c r="C412" s="420"/>
      <c r="D412" s="420"/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0"/>
      <c r="Q412" s="420"/>
      <c r="R412" s="420"/>
      <c r="S412" s="420"/>
      <c r="T412" s="420"/>
      <c r="U412" s="420"/>
      <c r="V412" s="420"/>
      <c r="W412" s="420"/>
      <c r="X412" s="420"/>
      <c r="Y412" s="420"/>
      <c r="Z412" s="383"/>
    </row>
    <row r="413" spans="1:26" ht="15">
      <c r="A413" s="420"/>
      <c r="B413" s="420"/>
      <c r="C413" s="420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0"/>
      <c r="Q413" s="420"/>
      <c r="R413" s="420"/>
      <c r="S413" s="420"/>
      <c r="T413" s="420"/>
      <c r="U413" s="420"/>
      <c r="V413" s="420"/>
      <c r="W413" s="420"/>
      <c r="X413" s="420"/>
      <c r="Y413" s="420"/>
      <c r="Z413" s="383"/>
    </row>
    <row r="414" spans="1:26" ht="15">
      <c r="A414" s="420"/>
      <c r="B414" s="420"/>
      <c r="C414" s="420"/>
      <c r="D414" s="420"/>
      <c r="E414" s="420"/>
      <c r="F414" s="420"/>
      <c r="G414" s="420"/>
      <c r="H414" s="420"/>
      <c r="I414" s="420"/>
      <c r="J414" s="420"/>
      <c r="K414" s="420"/>
      <c r="L414" s="420"/>
      <c r="M414" s="420"/>
      <c r="N414" s="420"/>
      <c r="O414" s="420"/>
      <c r="P414" s="420"/>
      <c r="Q414" s="420"/>
      <c r="R414" s="420"/>
      <c r="S414" s="420"/>
      <c r="T414" s="420"/>
      <c r="U414" s="420"/>
      <c r="V414" s="420"/>
      <c r="W414" s="420"/>
      <c r="X414" s="420"/>
      <c r="Y414" s="420"/>
      <c r="Z414" s="383"/>
    </row>
    <row r="415" spans="1:26" ht="15">
      <c r="A415" s="420"/>
      <c r="B415" s="420"/>
      <c r="C415" s="420"/>
      <c r="D415" s="420"/>
      <c r="E415" s="420"/>
      <c r="F415" s="420"/>
      <c r="G415" s="420"/>
      <c r="H415" s="420"/>
      <c r="I415" s="420"/>
      <c r="J415" s="420"/>
      <c r="K415" s="420"/>
      <c r="L415" s="420"/>
      <c r="M415" s="420"/>
      <c r="N415" s="420"/>
      <c r="O415" s="420"/>
      <c r="P415" s="420"/>
      <c r="Q415" s="420"/>
      <c r="R415" s="420"/>
      <c r="S415" s="420"/>
      <c r="T415" s="420"/>
      <c r="U415" s="420"/>
      <c r="V415" s="420"/>
      <c r="W415" s="420"/>
      <c r="X415" s="420"/>
      <c r="Y415" s="420"/>
      <c r="Z415" s="383"/>
    </row>
    <row r="416" spans="1:26" ht="15">
      <c r="A416" s="420"/>
      <c r="B416" s="420"/>
      <c r="C416" s="420"/>
      <c r="D416" s="420"/>
      <c r="E416" s="420"/>
      <c r="F416" s="420"/>
      <c r="G416" s="420"/>
      <c r="H416" s="420"/>
      <c r="I416" s="420"/>
      <c r="J416" s="420"/>
      <c r="K416" s="420"/>
      <c r="L416" s="420"/>
      <c r="M416" s="420"/>
      <c r="N416" s="420"/>
      <c r="O416" s="420"/>
      <c r="P416" s="420"/>
      <c r="Q416" s="420"/>
      <c r="R416" s="420"/>
      <c r="S416" s="420"/>
      <c r="T416" s="420"/>
      <c r="U416" s="420"/>
      <c r="V416" s="420"/>
      <c r="W416" s="420"/>
      <c r="X416" s="420"/>
      <c r="Y416" s="420"/>
      <c r="Z416" s="383"/>
    </row>
    <row r="417" spans="1:26" ht="15">
      <c r="A417" s="420"/>
      <c r="B417" s="420"/>
      <c r="C417" s="420"/>
      <c r="D417" s="420"/>
      <c r="E417" s="420"/>
      <c r="F417" s="420"/>
      <c r="G417" s="420"/>
      <c r="H417" s="420"/>
      <c r="I417" s="420"/>
      <c r="J417" s="420"/>
      <c r="K417" s="420"/>
      <c r="L417" s="420"/>
      <c r="M417" s="420"/>
      <c r="N417" s="420"/>
      <c r="O417" s="420"/>
      <c r="P417" s="420"/>
      <c r="Q417" s="420"/>
      <c r="R417" s="420"/>
      <c r="S417" s="420"/>
      <c r="T417" s="420"/>
      <c r="U417" s="420"/>
      <c r="V417" s="420"/>
      <c r="W417" s="420"/>
      <c r="X417" s="420"/>
      <c r="Y417" s="420"/>
      <c r="Z417" s="383"/>
    </row>
    <row r="418" spans="1:26" ht="15">
      <c r="A418" s="420"/>
      <c r="B418" s="420"/>
      <c r="C418" s="420"/>
      <c r="D418" s="420"/>
      <c r="E418" s="420"/>
      <c r="F418" s="420"/>
      <c r="G418" s="420"/>
      <c r="H418" s="420"/>
      <c r="I418" s="420"/>
      <c r="J418" s="420"/>
      <c r="K418" s="420"/>
      <c r="L418" s="420"/>
      <c r="M418" s="420"/>
      <c r="N418" s="420"/>
      <c r="O418" s="420"/>
      <c r="P418" s="420"/>
      <c r="Q418" s="420"/>
      <c r="R418" s="420"/>
      <c r="S418" s="420"/>
      <c r="T418" s="420"/>
      <c r="U418" s="420"/>
      <c r="V418" s="420"/>
      <c r="W418" s="420"/>
      <c r="X418" s="420"/>
      <c r="Y418" s="420"/>
      <c r="Z418" s="383"/>
    </row>
    <row r="419" spans="1:26" ht="15">
      <c r="A419" s="420"/>
      <c r="B419" s="420"/>
      <c r="C419" s="420"/>
      <c r="D419" s="420"/>
      <c r="E419" s="420"/>
      <c r="F419" s="420"/>
      <c r="G419" s="420"/>
      <c r="H419" s="420"/>
      <c r="I419" s="420"/>
      <c r="J419" s="420"/>
      <c r="K419" s="420"/>
      <c r="L419" s="420"/>
      <c r="M419" s="420"/>
      <c r="N419" s="420"/>
      <c r="O419" s="420"/>
      <c r="P419" s="420"/>
      <c r="Q419" s="420"/>
      <c r="R419" s="420"/>
      <c r="S419" s="420"/>
      <c r="T419" s="420"/>
      <c r="U419" s="420"/>
      <c r="V419" s="420"/>
      <c r="W419" s="420"/>
      <c r="X419" s="420"/>
      <c r="Y419" s="420"/>
      <c r="Z419" s="383"/>
    </row>
    <row r="420" spans="1:26" ht="15">
      <c r="A420" s="420"/>
      <c r="B420" s="420"/>
      <c r="C420" s="420"/>
      <c r="D420" s="420"/>
      <c r="E420" s="420"/>
      <c r="F420" s="420"/>
      <c r="G420" s="420"/>
      <c r="H420" s="420"/>
      <c r="I420" s="420"/>
      <c r="J420" s="420"/>
      <c r="K420" s="420"/>
      <c r="L420" s="420"/>
      <c r="M420" s="420"/>
      <c r="N420" s="420"/>
      <c r="O420" s="420"/>
      <c r="P420" s="420"/>
      <c r="Q420" s="420"/>
      <c r="R420" s="420"/>
      <c r="S420" s="420"/>
      <c r="T420" s="420"/>
      <c r="U420" s="420"/>
      <c r="V420" s="420"/>
      <c r="W420" s="420"/>
      <c r="X420" s="420"/>
      <c r="Y420" s="420"/>
      <c r="Z420" s="383"/>
    </row>
    <row r="421" spans="1:26" ht="15">
      <c r="A421" s="420"/>
      <c r="B421" s="420"/>
      <c r="C421" s="420"/>
      <c r="D421" s="420"/>
      <c r="E421" s="420"/>
      <c r="F421" s="420"/>
      <c r="G421" s="420"/>
      <c r="H421" s="420"/>
      <c r="I421" s="420"/>
      <c r="J421" s="420"/>
      <c r="K421" s="420"/>
      <c r="L421" s="420"/>
      <c r="M421" s="420"/>
      <c r="N421" s="420"/>
      <c r="O421" s="420"/>
      <c r="P421" s="420"/>
      <c r="Q421" s="420"/>
      <c r="R421" s="420"/>
      <c r="S421" s="420"/>
      <c r="T421" s="420"/>
      <c r="U421" s="420"/>
      <c r="V421" s="420"/>
      <c r="W421" s="420"/>
      <c r="X421" s="420"/>
      <c r="Y421" s="420"/>
      <c r="Z421" s="383"/>
    </row>
    <row r="422" spans="1:26" ht="15">
      <c r="A422" s="420"/>
      <c r="B422" s="420"/>
      <c r="C422" s="420"/>
      <c r="D422" s="420"/>
      <c r="E422" s="420"/>
      <c r="F422" s="420"/>
      <c r="G422" s="420"/>
      <c r="H422" s="420"/>
      <c r="I422" s="420"/>
      <c r="J422" s="420"/>
      <c r="K422" s="420"/>
      <c r="L422" s="420"/>
      <c r="M422" s="420"/>
      <c r="N422" s="420"/>
      <c r="O422" s="420"/>
      <c r="P422" s="420"/>
      <c r="Q422" s="420"/>
      <c r="R422" s="420"/>
      <c r="S422" s="420"/>
      <c r="T422" s="420"/>
      <c r="U422" s="420"/>
      <c r="V422" s="420"/>
      <c r="W422" s="420"/>
      <c r="X422" s="420"/>
      <c r="Y422" s="420"/>
      <c r="Z422" s="383"/>
    </row>
    <row r="423" spans="1:26" ht="15">
      <c r="A423" s="420"/>
      <c r="B423" s="420"/>
      <c r="C423" s="420"/>
      <c r="D423" s="420"/>
      <c r="E423" s="420"/>
      <c r="F423" s="420"/>
      <c r="G423" s="420"/>
      <c r="H423" s="420"/>
      <c r="I423" s="420"/>
      <c r="J423" s="420"/>
      <c r="K423" s="420"/>
      <c r="L423" s="420"/>
      <c r="M423" s="420"/>
      <c r="N423" s="420"/>
      <c r="O423" s="420"/>
      <c r="P423" s="420"/>
      <c r="Q423" s="420"/>
      <c r="R423" s="420"/>
      <c r="S423" s="420"/>
      <c r="T423" s="420"/>
      <c r="U423" s="420"/>
      <c r="V423" s="420"/>
      <c r="W423" s="420"/>
      <c r="X423" s="420"/>
      <c r="Y423" s="420"/>
      <c r="Z423" s="383"/>
    </row>
    <row r="424" spans="1:26" ht="15">
      <c r="A424" s="420"/>
      <c r="B424" s="420"/>
      <c r="C424" s="420"/>
      <c r="D424" s="420"/>
      <c r="E424" s="420"/>
      <c r="F424" s="420"/>
      <c r="G424" s="420"/>
      <c r="H424" s="420"/>
      <c r="I424" s="420"/>
      <c r="J424" s="420"/>
      <c r="K424" s="420"/>
      <c r="L424" s="420"/>
      <c r="M424" s="420"/>
      <c r="N424" s="420"/>
      <c r="O424" s="420"/>
      <c r="P424" s="420"/>
      <c r="Q424" s="420"/>
      <c r="R424" s="420"/>
      <c r="S424" s="420"/>
      <c r="T424" s="420"/>
      <c r="U424" s="420"/>
      <c r="V424" s="420"/>
      <c r="W424" s="420"/>
      <c r="X424" s="420"/>
      <c r="Y424" s="420"/>
      <c r="Z424" s="383"/>
    </row>
    <row r="425" spans="1:26" ht="15">
      <c r="A425" s="420"/>
      <c r="B425" s="420"/>
      <c r="C425" s="420"/>
      <c r="D425" s="420"/>
      <c r="E425" s="420"/>
      <c r="F425" s="420"/>
      <c r="G425" s="420"/>
      <c r="H425" s="420"/>
      <c r="I425" s="420"/>
      <c r="J425" s="420"/>
      <c r="K425" s="420"/>
      <c r="L425" s="420"/>
      <c r="M425" s="420"/>
      <c r="N425" s="420"/>
      <c r="O425" s="420"/>
      <c r="P425" s="420"/>
      <c r="Q425" s="420"/>
      <c r="R425" s="420"/>
      <c r="S425" s="420"/>
      <c r="T425" s="420"/>
      <c r="U425" s="420"/>
      <c r="V425" s="420"/>
      <c r="W425" s="420"/>
      <c r="X425" s="420"/>
      <c r="Y425" s="420"/>
      <c r="Z425" s="383"/>
    </row>
    <row r="426" spans="1:26" ht="15">
      <c r="A426" s="420"/>
      <c r="B426" s="420"/>
      <c r="C426" s="420"/>
      <c r="D426" s="420"/>
      <c r="E426" s="420"/>
      <c r="F426" s="420"/>
      <c r="G426" s="420"/>
      <c r="H426" s="420"/>
      <c r="I426" s="420"/>
      <c r="J426" s="420"/>
      <c r="K426" s="420"/>
      <c r="L426" s="420"/>
      <c r="M426" s="420"/>
      <c r="N426" s="420"/>
      <c r="O426" s="420"/>
      <c r="P426" s="420"/>
      <c r="Q426" s="420"/>
      <c r="R426" s="420"/>
      <c r="S426" s="420"/>
      <c r="T426" s="420"/>
      <c r="U426" s="420"/>
      <c r="V426" s="420"/>
      <c r="W426" s="420"/>
      <c r="X426" s="420"/>
      <c r="Y426" s="420"/>
      <c r="Z426" s="383"/>
    </row>
    <row r="427" spans="1:26" ht="15">
      <c r="A427" s="420"/>
      <c r="B427" s="420"/>
      <c r="C427" s="420"/>
      <c r="D427" s="420"/>
      <c r="E427" s="420"/>
      <c r="F427" s="420"/>
      <c r="G427" s="420"/>
      <c r="H427" s="420"/>
      <c r="I427" s="420"/>
      <c r="J427" s="420"/>
      <c r="K427" s="420"/>
      <c r="L427" s="420"/>
      <c r="M427" s="420"/>
      <c r="N427" s="420"/>
      <c r="O427" s="420"/>
      <c r="P427" s="420"/>
      <c r="Q427" s="420"/>
      <c r="R427" s="420"/>
      <c r="S427" s="420"/>
      <c r="T427" s="420"/>
      <c r="U427" s="420"/>
      <c r="V427" s="420"/>
      <c r="W427" s="420"/>
      <c r="X427" s="420"/>
      <c r="Y427" s="420"/>
      <c r="Z427" s="383"/>
    </row>
    <row r="428" spans="1:26" ht="15">
      <c r="A428" s="420"/>
      <c r="B428" s="420"/>
      <c r="C428" s="420"/>
      <c r="D428" s="420"/>
      <c r="E428" s="420"/>
      <c r="F428" s="420"/>
      <c r="G428" s="420"/>
      <c r="H428" s="420"/>
      <c r="I428" s="420"/>
      <c r="J428" s="420"/>
      <c r="K428" s="420"/>
      <c r="L428" s="420"/>
      <c r="M428" s="420"/>
      <c r="N428" s="420"/>
      <c r="O428" s="420"/>
      <c r="P428" s="420"/>
      <c r="Q428" s="420"/>
      <c r="R428" s="420"/>
      <c r="S428" s="420"/>
      <c r="T428" s="420"/>
      <c r="U428" s="420"/>
      <c r="V428" s="420"/>
      <c r="W428" s="420"/>
      <c r="X428" s="420"/>
      <c r="Y428" s="420"/>
      <c r="Z428" s="383"/>
    </row>
    <row r="429" spans="1:26" ht="15">
      <c r="A429" s="420"/>
      <c r="B429" s="420"/>
      <c r="C429" s="420"/>
      <c r="D429" s="420"/>
      <c r="E429" s="420"/>
      <c r="F429" s="420"/>
      <c r="G429" s="420"/>
      <c r="H429" s="420"/>
      <c r="I429" s="420"/>
      <c r="J429" s="420"/>
      <c r="K429" s="420"/>
      <c r="L429" s="420"/>
      <c r="M429" s="420"/>
      <c r="N429" s="420"/>
      <c r="O429" s="420"/>
      <c r="P429" s="420"/>
      <c r="Q429" s="420"/>
      <c r="R429" s="420"/>
      <c r="S429" s="420"/>
      <c r="T429" s="420"/>
      <c r="U429" s="420"/>
      <c r="V429" s="420"/>
      <c r="W429" s="420"/>
      <c r="X429" s="420"/>
      <c r="Y429" s="420"/>
      <c r="Z429" s="383"/>
    </row>
    <row r="430" spans="1:26" ht="15">
      <c r="A430" s="420"/>
      <c r="B430" s="420"/>
      <c r="C430" s="420"/>
      <c r="D430" s="420"/>
      <c r="E430" s="420"/>
      <c r="F430" s="420"/>
      <c r="G430" s="420"/>
      <c r="H430" s="420"/>
      <c r="I430" s="420"/>
      <c r="J430" s="420"/>
      <c r="K430" s="420"/>
      <c r="L430" s="420"/>
      <c r="M430" s="420"/>
      <c r="N430" s="420"/>
      <c r="O430" s="420"/>
      <c r="P430" s="420"/>
      <c r="Q430" s="420"/>
      <c r="R430" s="420"/>
      <c r="S430" s="420"/>
      <c r="T430" s="420"/>
      <c r="U430" s="420"/>
      <c r="V430" s="420"/>
      <c r="W430" s="420"/>
      <c r="X430" s="420"/>
      <c r="Y430" s="420"/>
      <c r="Z430" s="383"/>
    </row>
    <row r="431" spans="1:26" ht="15">
      <c r="A431" s="420"/>
      <c r="B431" s="420"/>
      <c r="C431" s="420"/>
      <c r="D431" s="420"/>
      <c r="E431" s="420"/>
      <c r="F431" s="420"/>
      <c r="G431" s="420"/>
      <c r="H431" s="420"/>
      <c r="I431" s="420"/>
      <c r="J431" s="420"/>
      <c r="K431" s="420"/>
      <c r="L431" s="420"/>
      <c r="M431" s="420"/>
      <c r="N431" s="420"/>
      <c r="O431" s="420"/>
      <c r="P431" s="420"/>
      <c r="Q431" s="420"/>
      <c r="R431" s="420"/>
      <c r="S431" s="420"/>
      <c r="T431" s="420"/>
      <c r="U431" s="420"/>
      <c r="V431" s="420"/>
      <c r="W431" s="420"/>
      <c r="X431" s="420"/>
      <c r="Y431" s="420"/>
      <c r="Z431" s="383"/>
    </row>
    <row r="432" spans="1:26" ht="15">
      <c r="A432" s="420"/>
      <c r="B432" s="420"/>
      <c r="C432" s="420"/>
      <c r="D432" s="420"/>
      <c r="E432" s="420"/>
      <c r="F432" s="420"/>
      <c r="G432" s="420"/>
      <c r="H432" s="420"/>
      <c r="I432" s="420"/>
      <c r="J432" s="420"/>
      <c r="K432" s="420"/>
      <c r="L432" s="420"/>
      <c r="M432" s="420"/>
      <c r="N432" s="420"/>
      <c r="O432" s="420"/>
      <c r="P432" s="420"/>
      <c r="Q432" s="420"/>
      <c r="R432" s="420"/>
      <c r="S432" s="420"/>
      <c r="T432" s="420"/>
      <c r="U432" s="420"/>
      <c r="V432" s="420"/>
      <c r="W432" s="420"/>
      <c r="X432" s="420"/>
      <c r="Y432" s="420"/>
      <c r="Z432" s="383"/>
    </row>
    <row r="433" spans="1:26" ht="15">
      <c r="A433" s="420"/>
      <c r="B433" s="420"/>
      <c r="C433" s="420"/>
      <c r="D433" s="420"/>
      <c r="E433" s="420"/>
      <c r="F433" s="420"/>
      <c r="G433" s="420"/>
      <c r="H433" s="420"/>
      <c r="I433" s="420"/>
      <c r="J433" s="420"/>
      <c r="K433" s="420"/>
      <c r="L433" s="420"/>
      <c r="M433" s="420"/>
      <c r="N433" s="420"/>
      <c r="O433" s="420"/>
      <c r="P433" s="420"/>
      <c r="Q433" s="420"/>
      <c r="R433" s="420"/>
      <c r="S433" s="420"/>
      <c r="T433" s="420"/>
      <c r="U433" s="420"/>
      <c r="V433" s="420"/>
      <c r="W433" s="420"/>
      <c r="X433" s="420"/>
      <c r="Y433" s="420"/>
      <c r="Z433" s="383"/>
    </row>
    <row r="434" spans="1:26" ht="15">
      <c r="A434" s="420"/>
      <c r="B434" s="420"/>
      <c r="C434" s="420"/>
      <c r="D434" s="420"/>
      <c r="E434" s="420"/>
      <c r="F434" s="420"/>
      <c r="G434" s="420"/>
      <c r="H434" s="420"/>
      <c r="I434" s="420"/>
      <c r="J434" s="420"/>
      <c r="K434" s="420"/>
      <c r="L434" s="420"/>
      <c r="M434" s="420"/>
      <c r="N434" s="420"/>
      <c r="O434" s="420"/>
      <c r="P434" s="420"/>
      <c r="Q434" s="420"/>
      <c r="R434" s="420"/>
      <c r="S434" s="420"/>
      <c r="T434" s="420"/>
      <c r="U434" s="420"/>
      <c r="V434" s="420"/>
      <c r="W434" s="420"/>
      <c r="X434" s="420"/>
      <c r="Y434" s="420"/>
      <c r="Z434" s="383"/>
    </row>
    <row r="435" spans="1:26" ht="15">
      <c r="A435" s="420"/>
      <c r="B435" s="420"/>
      <c r="C435" s="420"/>
      <c r="D435" s="420"/>
      <c r="E435" s="420"/>
      <c r="F435" s="420"/>
      <c r="G435" s="420"/>
      <c r="H435" s="420"/>
      <c r="I435" s="420"/>
      <c r="J435" s="420"/>
      <c r="K435" s="420"/>
      <c r="L435" s="420"/>
      <c r="M435" s="420"/>
      <c r="N435" s="420"/>
      <c r="O435" s="420"/>
      <c r="P435" s="420"/>
      <c r="Q435" s="420"/>
      <c r="R435" s="420"/>
      <c r="S435" s="420"/>
      <c r="T435" s="420"/>
      <c r="U435" s="420"/>
      <c r="V435" s="420"/>
      <c r="W435" s="420"/>
      <c r="X435" s="420"/>
      <c r="Y435" s="420"/>
      <c r="Z435" s="383"/>
    </row>
    <row r="436" spans="1:26" ht="15">
      <c r="A436" s="420"/>
      <c r="B436" s="420"/>
      <c r="C436" s="420"/>
      <c r="D436" s="420"/>
      <c r="E436" s="420"/>
      <c r="F436" s="420"/>
      <c r="G436" s="420"/>
      <c r="H436" s="420"/>
      <c r="I436" s="420"/>
      <c r="J436" s="420"/>
      <c r="K436" s="420"/>
      <c r="L436" s="420"/>
      <c r="M436" s="420"/>
      <c r="N436" s="420"/>
      <c r="O436" s="420"/>
      <c r="P436" s="420"/>
      <c r="Q436" s="420"/>
      <c r="R436" s="420"/>
      <c r="S436" s="420"/>
      <c r="T436" s="420"/>
      <c r="U436" s="420"/>
      <c r="V436" s="420"/>
      <c r="W436" s="420"/>
      <c r="X436" s="420"/>
      <c r="Y436" s="420"/>
      <c r="Z436" s="383"/>
    </row>
    <row r="437" spans="1:26" ht="15">
      <c r="A437" s="420"/>
      <c r="B437" s="420"/>
      <c r="C437" s="420"/>
      <c r="D437" s="420"/>
      <c r="E437" s="420"/>
      <c r="F437" s="420"/>
      <c r="G437" s="420"/>
      <c r="H437" s="420"/>
      <c r="I437" s="420"/>
      <c r="J437" s="420"/>
      <c r="K437" s="420"/>
      <c r="L437" s="420"/>
      <c r="M437" s="420"/>
      <c r="N437" s="420"/>
      <c r="O437" s="420"/>
      <c r="P437" s="420"/>
      <c r="Q437" s="420"/>
      <c r="R437" s="420"/>
      <c r="S437" s="420"/>
      <c r="T437" s="420"/>
      <c r="U437" s="420"/>
      <c r="V437" s="420"/>
      <c r="W437" s="420"/>
      <c r="X437" s="420"/>
      <c r="Y437" s="420"/>
      <c r="Z437" s="383"/>
    </row>
    <row r="438" spans="1:26" ht="15">
      <c r="A438" s="420"/>
      <c r="B438" s="420"/>
      <c r="C438" s="420"/>
      <c r="D438" s="420"/>
      <c r="E438" s="420"/>
      <c r="F438" s="420"/>
      <c r="G438" s="420"/>
      <c r="H438" s="420"/>
      <c r="I438" s="420"/>
      <c r="J438" s="420"/>
      <c r="K438" s="420"/>
      <c r="L438" s="420"/>
      <c r="M438" s="420"/>
      <c r="N438" s="420"/>
      <c r="O438" s="420"/>
      <c r="P438" s="420"/>
      <c r="Q438" s="420"/>
      <c r="R438" s="420"/>
      <c r="S438" s="420"/>
      <c r="T438" s="420"/>
      <c r="U438" s="420"/>
      <c r="V438" s="420"/>
      <c r="W438" s="420"/>
      <c r="X438" s="420"/>
      <c r="Y438" s="420"/>
      <c r="Z438" s="383"/>
    </row>
    <row r="439" spans="1:26" ht="15">
      <c r="A439" s="420"/>
      <c r="B439" s="420"/>
      <c r="C439" s="420"/>
      <c r="D439" s="420"/>
      <c r="E439" s="420"/>
      <c r="F439" s="420"/>
      <c r="G439" s="420"/>
      <c r="H439" s="420"/>
      <c r="I439" s="420"/>
      <c r="J439" s="420"/>
      <c r="K439" s="420"/>
      <c r="L439" s="420"/>
      <c r="M439" s="420"/>
      <c r="N439" s="420"/>
      <c r="O439" s="420"/>
      <c r="P439" s="420"/>
      <c r="Q439" s="420"/>
      <c r="R439" s="420"/>
      <c r="S439" s="420"/>
      <c r="T439" s="420"/>
      <c r="U439" s="420"/>
      <c r="V439" s="420"/>
      <c r="W439" s="420"/>
      <c r="X439" s="420"/>
      <c r="Y439" s="420"/>
      <c r="Z439" s="383"/>
    </row>
    <row r="440" spans="1:26" ht="15">
      <c r="A440" s="420"/>
      <c r="B440" s="420"/>
      <c r="C440" s="420"/>
      <c r="D440" s="420"/>
      <c r="E440" s="420"/>
      <c r="F440" s="420"/>
      <c r="G440" s="420"/>
      <c r="H440" s="420"/>
      <c r="I440" s="420"/>
      <c r="J440" s="420"/>
      <c r="K440" s="420"/>
      <c r="L440" s="420"/>
      <c r="M440" s="420"/>
      <c r="N440" s="420"/>
      <c r="O440" s="420"/>
      <c r="P440" s="420"/>
      <c r="Q440" s="420"/>
      <c r="R440" s="420"/>
      <c r="S440" s="420"/>
      <c r="T440" s="420"/>
      <c r="U440" s="420"/>
      <c r="V440" s="420"/>
      <c r="W440" s="420"/>
      <c r="X440" s="420"/>
      <c r="Y440" s="420"/>
      <c r="Z440" s="383"/>
    </row>
    <row r="441" spans="1:26" ht="15">
      <c r="A441" s="420"/>
      <c r="B441" s="420"/>
      <c r="C441" s="420"/>
      <c r="D441" s="420"/>
      <c r="E441" s="420"/>
      <c r="F441" s="420"/>
      <c r="G441" s="420"/>
      <c r="H441" s="420"/>
      <c r="I441" s="420"/>
      <c r="J441" s="420"/>
      <c r="K441" s="420"/>
      <c r="L441" s="420"/>
      <c r="M441" s="420"/>
      <c r="N441" s="420"/>
      <c r="O441" s="420"/>
      <c r="P441" s="420"/>
      <c r="Q441" s="420"/>
      <c r="R441" s="420"/>
      <c r="S441" s="420"/>
      <c r="T441" s="420"/>
      <c r="U441" s="420"/>
      <c r="V441" s="420"/>
      <c r="W441" s="420"/>
      <c r="X441" s="420"/>
      <c r="Y441" s="420"/>
      <c r="Z441" s="383"/>
    </row>
    <row r="442" spans="1:26" ht="15">
      <c r="A442" s="420"/>
      <c r="B442" s="420"/>
      <c r="C442" s="420"/>
      <c r="D442" s="420"/>
      <c r="E442" s="420"/>
      <c r="F442" s="420"/>
      <c r="G442" s="420"/>
      <c r="H442" s="420"/>
      <c r="I442" s="420"/>
      <c r="J442" s="420"/>
      <c r="K442" s="420"/>
      <c r="L442" s="420"/>
      <c r="M442" s="420"/>
      <c r="N442" s="420"/>
      <c r="O442" s="420"/>
      <c r="P442" s="420"/>
      <c r="Q442" s="420"/>
      <c r="R442" s="420"/>
      <c r="S442" s="420"/>
      <c r="T442" s="420"/>
      <c r="U442" s="420"/>
      <c r="V442" s="420"/>
      <c r="W442" s="420"/>
      <c r="X442" s="420"/>
      <c r="Y442" s="420"/>
      <c r="Z442" s="383"/>
    </row>
    <row r="443" spans="1:26" ht="15">
      <c r="A443" s="420"/>
      <c r="B443" s="420"/>
      <c r="C443" s="420"/>
      <c r="D443" s="420"/>
      <c r="E443" s="420"/>
      <c r="F443" s="420"/>
      <c r="G443" s="420"/>
      <c r="H443" s="420"/>
      <c r="I443" s="420"/>
      <c r="J443" s="420"/>
      <c r="K443" s="420"/>
      <c r="L443" s="420"/>
      <c r="M443" s="420"/>
      <c r="N443" s="420"/>
      <c r="O443" s="420"/>
      <c r="P443" s="420"/>
      <c r="Q443" s="420"/>
      <c r="R443" s="420"/>
      <c r="S443" s="420"/>
      <c r="T443" s="420"/>
      <c r="U443" s="420"/>
      <c r="V443" s="420"/>
      <c r="W443" s="420"/>
      <c r="X443" s="420"/>
      <c r="Y443" s="420"/>
      <c r="Z443" s="383"/>
    </row>
    <row r="444" spans="1:26" ht="15">
      <c r="A444" s="420"/>
      <c r="B444" s="420"/>
      <c r="C444" s="420"/>
      <c r="D444" s="420"/>
      <c r="E444" s="420"/>
      <c r="F444" s="420"/>
      <c r="G444" s="420"/>
      <c r="H444" s="420"/>
      <c r="I444" s="420"/>
      <c r="J444" s="420"/>
      <c r="K444" s="420"/>
      <c r="L444" s="420"/>
      <c r="M444" s="420"/>
      <c r="N444" s="420"/>
      <c r="O444" s="420"/>
      <c r="P444" s="420"/>
      <c r="Q444" s="420"/>
      <c r="R444" s="420"/>
      <c r="S444" s="420"/>
      <c r="T444" s="420"/>
      <c r="U444" s="420"/>
      <c r="V444" s="420"/>
      <c r="W444" s="420"/>
      <c r="X444" s="420"/>
      <c r="Y444" s="420"/>
      <c r="Z444" s="383"/>
    </row>
    <row r="445" spans="1:26" ht="15">
      <c r="A445" s="420"/>
      <c r="B445" s="420"/>
      <c r="C445" s="420"/>
      <c r="D445" s="420"/>
      <c r="E445" s="420"/>
      <c r="F445" s="420"/>
      <c r="G445" s="420"/>
      <c r="H445" s="420"/>
      <c r="I445" s="420"/>
      <c r="J445" s="420"/>
      <c r="K445" s="420"/>
      <c r="L445" s="420"/>
      <c r="M445" s="420"/>
      <c r="N445" s="420"/>
      <c r="O445" s="420"/>
      <c r="P445" s="420"/>
      <c r="Q445" s="420"/>
      <c r="R445" s="420"/>
      <c r="S445" s="420"/>
      <c r="T445" s="420"/>
      <c r="U445" s="420"/>
      <c r="V445" s="420"/>
      <c r="W445" s="420"/>
      <c r="X445" s="420"/>
      <c r="Y445" s="420"/>
      <c r="Z445" s="383"/>
    </row>
    <row r="446" spans="1:26" ht="15">
      <c r="A446" s="420"/>
      <c r="B446" s="420"/>
      <c r="C446" s="420"/>
      <c r="D446" s="420"/>
      <c r="E446" s="420"/>
      <c r="F446" s="420"/>
      <c r="G446" s="420"/>
      <c r="H446" s="420"/>
      <c r="I446" s="420"/>
      <c r="J446" s="420"/>
      <c r="K446" s="420"/>
      <c r="L446" s="420"/>
      <c r="M446" s="420"/>
      <c r="N446" s="420"/>
      <c r="O446" s="420"/>
      <c r="P446" s="420"/>
      <c r="Q446" s="420"/>
      <c r="R446" s="420"/>
      <c r="S446" s="420"/>
      <c r="T446" s="420"/>
      <c r="U446" s="420"/>
      <c r="V446" s="420"/>
      <c r="W446" s="420"/>
      <c r="X446" s="420"/>
      <c r="Y446" s="420"/>
      <c r="Z446" s="383"/>
    </row>
    <row r="447" spans="1:26" ht="15">
      <c r="A447" s="420"/>
      <c r="B447" s="420"/>
      <c r="C447" s="420"/>
      <c r="D447" s="420"/>
      <c r="E447" s="420"/>
      <c r="F447" s="420"/>
      <c r="G447" s="420"/>
      <c r="H447" s="420"/>
      <c r="I447" s="420"/>
      <c r="J447" s="420"/>
      <c r="K447" s="420"/>
      <c r="L447" s="420"/>
      <c r="M447" s="420"/>
      <c r="N447" s="420"/>
      <c r="O447" s="420"/>
      <c r="P447" s="420"/>
      <c r="Q447" s="420"/>
      <c r="R447" s="420"/>
      <c r="S447" s="420"/>
      <c r="T447" s="420"/>
      <c r="U447" s="420"/>
      <c r="V447" s="420"/>
      <c r="W447" s="420"/>
      <c r="X447" s="420"/>
      <c r="Y447" s="420"/>
      <c r="Z447" s="383"/>
    </row>
    <row r="448" spans="1:26" ht="15">
      <c r="A448" s="420"/>
      <c r="B448" s="420"/>
      <c r="C448" s="420"/>
      <c r="D448" s="420"/>
      <c r="E448" s="420"/>
      <c r="F448" s="420"/>
      <c r="G448" s="420"/>
      <c r="H448" s="420"/>
      <c r="I448" s="420"/>
      <c r="J448" s="420"/>
      <c r="K448" s="420"/>
      <c r="L448" s="420"/>
      <c r="M448" s="420"/>
      <c r="N448" s="420"/>
      <c r="O448" s="420"/>
      <c r="P448" s="420"/>
      <c r="Q448" s="420"/>
      <c r="R448" s="420"/>
      <c r="S448" s="420"/>
      <c r="T448" s="420"/>
      <c r="U448" s="420"/>
      <c r="V448" s="420"/>
      <c r="W448" s="420"/>
      <c r="X448" s="420"/>
      <c r="Y448" s="420"/>
      <c r="Z448" s="383"/>
    </row>
    <row r="449" spans="1:26" ht="15">
      <c r="A449" s="420"/>
      <c r="B449" s="420"/>
      <c r="C449" s="420"/>
      <c r="D449" s="420"/>
      <c r="E449" s="420"/>
      <c r="F449" s="420"/>
      <c r="G449" s="420"/>
      <c r="H449" s="420"/>
      <c r="I449" s="420"/>
      <c r="J449" s="420"/>
      <c r="K449" s="420"/>
      <c r="L449" s="420"/>
      <c r="M449" s="420"/>
      <c r="N449" s="420"/>
      <c r="O449" s="420"/>
      <c r="P449" s="420"/>
      <c r="Q449" s="420"/>
      <c r="R449" s="420"/>
      <c r="S449" s="420"/>
      <c r="T449" s="420"/>
      <c r="U449" s="420"/>
      <c r="V449" s="420"/>
      <c r="W449" s="420"/>
      <c r="X449" s="420"/>
      <c r="Y449" s="420"/>
      <c r="Z449" s="383"/>
    </row>
    <row r="450" spans="1:26" ht="15">
      <c r="A450" s="420"/>
      <c r="B450" s="420"/>
      <c r="C450" s="420"/>
      <c r="D450" s="420"/>
      <c r="E450" s="420"/>
      <c r="F450" s="420"/>
      <c r="G450" s="420"/>
      <c r="H450" s="420"/>
      <c r="I450" s="420"/>
      <c r="J450" s="420"/>
      <c r="K450" s="420"/>
      <c r="L450" s="420"/>
      <c r="M450" s="420"/>
      <c r="N450" s="420"/>
      <c r="O450" s="420"/>
      <c r="P450" s="420"/>
      <c r="Q450" s="420"/>
      <c r="R450" s="420"/>
      <c r="S450" s="420"/>
      <c r="T450" s="420"/>
      <c r="U450" s="420"/>
      <c r="V450" s="420"/>
      <c r="W450" s="420"/>
      <c r="X450" s="420"/>
      <c r="Y450" s="420"/>
      <c r="Z450" s="383"/>
    </row>
    <row r="451" spans="1:26" ht="15">
      <c r="A451" s="420"/>
      <c r="B451" s="420"/>
      <c r="C451" s="420"/>
      <c r="D451" s="420"/>
      <c r="E451" s="420"/>
      <c r="F451" s="420"/>
      <c r="G451" s="420"/>
      <c r="H451" s="420"/>
      <c r="I451" s="420"/>
      <c r="J451" s="420"/>
      <c r="K451" s="420"/>
      <c r="L451" s="420"/>
      <c r="M451" s="420"/>
      <c r="N451" s="420"/>
      <c r="O451" s="420"/>
      <c r="P451" s="420"/>
      <c r="Q451" s="420"/>
      <c r="R451" s="420"/>
      <c r="S451" s="420"/>
      <c r="T451" s="420"/>
      <c r="U451" s="420"/>
      <c r="V451" s="420"/>
      <c r="W451" s="420"/>
      <c r="X451" s="420"/>
      <c r="Y451" s="420"/>
      <c r="Z451" s="383"/>
    </row>
    <row r="452" spans="1:26" ht="15">
      <c r="A452" s="420"/>
      <c r="B452" s="420"/>
      <c r="C452" s="420"/>
      <c r="D452" s="420"/>
      <c r="E452" s="420"/>
      <c r="F452" s="420"/>
      <c r="G452" s="420"/>
      <c r="H452" s="420"/>
      <c r="I452" s="420"/>
      <c r="J452" s="420"/>
      <c r="K452" s="420"/>
      <c r="L452" s="420"/>
      <c r="M452" s="420"/>
      <c r="N452" s="420"/>
      <c r="O452" s="420"/>
      <c r="P452" s="420"/>
      <c r="Q452" s="420"/>
      <c r="R452" s="420"/>
      <c r="S452" s="420"/>
      <c r="T452" s="420"/>
      <c r="U452" s="420"/>
      <c r="V452" s="420"/>
      <c r="W452" s="420"/>
      <c r="X452" s="420"/>
      <c r="Y452" s="420"/>
      <c r="Z452" s="383"/>
    </row>
    <row r="453" spans="1:26" ht="15">
      <c r="A453" s="420"/>
      <c r="B453" s="420"/>
      <c r="C453" s="420"/>
      <c r="D453" s="420"/>
      <c r="E453" s="420"/>
      <c r="F453" s="420"/>
      <c r="G453" s="420"/>
      <c r="H453" s="420"/>
      <c r="I453" s="420"/>
      <c r="J453" s="420"/>
      <c r="K453" s="420"/>
      <c r="L453" s="420"/>
      <c r="M453" s="420"/>
      <c r="N453" s="420"/>
      <c r="O453" s="420"/>
      <c r="P453" s="420"/>
      <c r="Q453" s="420"/>
      <c r="R453" s="420"/>
      <c r="S453" s="420"/>
      <c r="T453" s="420"/>
      <c r="U453" s="420"/>
      <c r="V453" s="420"/>
      <c r="W453" s="420"/>
      <c r="X453" s="420"/>
      <c r="Y453" s="420"/>
      <c r="Z453" s="383"/>
    </row>
    <row r="454" spans="1:26" ht="15">
      <c r="A454" s="420"/>
      <c r="B454" s="420"/>
      <c r="C454" s="420"/>
      <c r="D454" s="420"/>
      <c r="E454" s="420"/>
      <c r="F454" s="420"/>
      <c r="G454" s="420"/>
      <c r="H454" s="420"/>
      <c r="I454" s="420"/>
      <c r="J454" s="420"/>
      <c r="K454" s="420"/>
      <c r="L454" s="420"/>
      <c r="M454" s="420"/>
      <c r="N454" s="420"/>
      <c r="O454" s="420"/>
      <c r="P454" s="420"/>
      <c r="Q454" s="420"/>
      <c r="R454" s="420"/>
      <c r="S454" s="420"/>
      <c r="T454" s="420"/>
      <c r="U454" s="420"/>
      <c r="V454" s="420"/>
      <c r="W454" s="420"/>
      <c r="X454" s="420"/>
      <c r="Y454" s="420"/>
      <c r="Z454" s="383"/>
    </row>
    <row r="455" spans="1:26" ht="15">
      <c r="A455" s="420"/>
      <c r="B455" s="420"/>
      <c r="C455" s="420"/>
      <c r="D455" s="420"/>
      <c r="E455" s="420"/>
      <c r="F455" s="420"/>
      <c r="G455" s="420"/>
      <c r="H455" s="420"/>
      <c r="I455" s="420"/>
      <c r="J455" s="420"/>
      <c r="K455" s="420"/>
      <c r="L455" s="420"/>
      <c r="M455" s="420"/>
      <c r="N455" s="420"/>
      <c r="O455" s="420"/>
      <c r="P455" s="420"/>
      <c r="Q455" s="420"/>
      <c r="R455" s="420"/>
      <c r="S455" s="420"/>
      <c r="T455" s="420"/>
      <c r="U455" s="420"/>
      <c r="V455" s="420"/>
      <c r="W455" s="420"/>
      <c r="X455" s="420"/>
      <c r="Y455" s="420"/>
      <c r="Z455" s="383"/>
    </row>
    <row r="456" spans="1:26" ht="15">
      <c r="A456" s="420"/>
      <c r="B456" s="420"/>
      <c r="C456" s="420"/>
      <c r="D456" s="420"/>
      <c r="E456" s="420"/>
      <c r="F456" s="420"/>
      <c r="G456" s="420"/>
      <c r="H456" s="420"/>
      <c r="I456" s="420"/>
      <c r="J456" s="420"/>
      <c r="K456" s="420"/>
      <c r="L456" s="420"/>
      <c r="M456" s="420"/>
      <c r="N456" s="420"/>
      <c r="O456" s="420"/>
      <c r="P456" s="420"/>
      <c r="Q456" s="420"/>
      <c r="R456" s="420"/>
      <c r="S456" s="420"/>
      <c r="T456" s="420"/>
      <c r="U456" s="420"/>
      <c r="V456" s="420"/>
      <c r="W456" s="420"/>
      <c r="X456" s="420"/>
      <c r="Y456" s="420"/>
      <c r="Z456" s="383"/>
    </row>
    <row r="457" spans="1:26" ht="15">
      <c r="A457" s="420"/>
      <c r="B457" s="420"/>
      <c r="C457" s="420"/>
      <c r="D457" s="420"/>
      <c r="E457" s="420"/>
      <c r="F457" s="420"/>
      <c r="G457" s="420"/>
      <c r="H457" s="420"/>
      <c r="I457" s="420"/>
      <c r="J457" s="420"/>
      <c r="K457" s="420"/>
      <c r="L457" s="420"/>
      <c r="M457" s="420"/>
      <c r="N457" s="420"/>
      <c r="O457" s="420"/>
      <c r="P457" s="420"/>
      <c r="Q457" s="420"/>
      <c r="R457" s="420"/>
      <c r="S457" s="420"/>
      <c r="T457" s="420"/>
      <c r="U457" s="420"/>
      <c r="V457" s="420"/>
      <c r="W457" s="420"/>
      <c r="X457" s="420"/>
      <c r="Y457" s="420"/>
      <c r="Z457" s="383"/>
    </row>
    <row r="458" spans="1:26" ht="15">
      <c r="A458" s="420"/>
      <c r="B458" s="420"/>
      <c r="C458" s="420"/>
      <c r="D458" s="420"/>
      <c r="E458" s="420"/>
      <c r="F458" s="420"/>
      <c r="G458" s="420"/>
      <c r="H458" s="420"/>
      <c r="I458" s="420"/>
      <c r="J458" s="420"/>
      <c r="K458" s="420"/>
      <c r="L458" s="420"/>
      <c r="M458" s="420"/>
      <c r="N458" s="420"/>
      <c r="O458" s="420"/>
      <c r="P458" s="420"/>
      <c r="Q458" s="420"/>
      <c r="R458" s="420"/>
      <c r="S458" s="420"/>
      <c r="T458" s="420"/>
      <c r="U458" s="420"/>
      <c r="V458" s="420"/>
      <c r="W458" s="420"/>
      <c r="X458" s="420"/>
      <c r="Y458" s="420"/>
      <c r="Z458" s="383"/>
    </row>
    <row r="459" spans="1:26" ht="15">
      <c r="A459" s="420"/>
      <c r="B459" s="420"/>
      <c r="C459" s="420"/>
      <c r="D459" s="420"/>
      <c r="E459" s="420"/>
      <c r="F459" s="420"/>
      <c r="G459" s="420"/>
      <c r="H459" s="420"/>
      <c r="I459" s="420"/>
      <c r="J459" s="420"/>
      <c r="K459" s="420"/>
      <c r="L459" s="420"/>
      <c r="M459" s="420"/>
      <c r="N459" s="420"/>
      <c r="O459" s="420"/>
      <c r="P459" s="420"/>
      <c r="Q459" s="420"/>
      <c r="R459" s="420"/>
      <c r="S459" s="420"/>
      <c r="T459" s="420"/>
      <c r="U459" s="420"/>
      <c r="V459" s="420"/>
      <c r="W459" s="420"/>
      <c r="X459" s="420"/>
      <c r="Y459" s="420"/>
      <c r="Z459" s="383"/>
    </row>
    <row r="460" spans="1:26" ht="15">
      <c r="A460" s="420"/>
      <c r="B460" s="420"/>
      <c r="C460" s="420"/>
      <c r="D460" s="420"/>
      <c r="E460" s="420"/>
      <c r="F460" s="420"/>
      <c r="G460" s="420"/>
      <c r="H460" s="420"/>
      <c r="I460" s="420"/>
      <c r="J460" s="420"/>
      <c r="K460" s="420"/>
      <c r="L460" s="420"/>
      <c r="M460" s="420"/>
      <c r="N460" s="420"/>
      <c r="O460" s="420"/>
      <c r="P460" s="420"/>
      <c r="Q460" s="420"/>
      <c r="R460" s="420"/>
      <c r="S460" s="420"/>
      <c r="T460" s="420"/>
      <c r="U460" s="420"/>
      <c r="V460" s="420"/>
      <c r="W460" s="420"/>
      <c r="X460" s="420"/>
      <c r="Y460" s="420"/>
      <c r="Z460" s="383"/>
    </row>
    <row r="461" spans="1:26" ht="15">
      <c r="A461" s="420"/>
      <c r="B461" s="420"/>
      <c r="C461" s="420"/>
      <c r="D461" s="420"/>
      <c r="E461" s="420"/>
      <c r="F461" s="420"/>
      <c r="G461" s="420"/>
      <c r="H461" s="420"/>
      <c r="I461" s="420"/>
      <c r="J461" s="420"/>
      <c r="K461" s="420"/>
      <c r="L461" s="420"/>
      <c r="M461" s="420"/>
      <c r="N461" s="420"/>
      <c r="O461" s="420"/>
      <c r="P461" s="420"/>
      <c r="Q461" s="420"/>
      <c r="R461" s="420"/>
      <c r="S461" s="420"/>
      <c r="T461" s="420"/>
      <c r="U461" s="420"/>
      <c r="V461" s="420"/>
      <c r="W461" s="420"/>
      <c r="X461" s="420"/>
      <c r="Y461" s="420"/>
      <c r="Z461" s="383"/>
    </row>
    <row r="462" spans="1:26" ht="15">
      <c r="A462" s="420"/>
      <c r="B462" s="420"/>
      <c r="C462" s="420"/>
      <c r="D462" s="420"/>
      <c r="E462" s="420"/>
      <c r="F462" s="420"/>
      <c r="G462" s="420"/>
      <c r="H462" s="420"/>
      <c r="I462" s="420"/>
      <c r="J462" s="420"/>
      <c r="K462" s="420"/>
      <c r="L462" s="420"/>
      <c r="M462" s="420"/>
      <c r="N462" s="420"/>
      <c r="O462" s="420"/>
      <c r="P462" s="420"/>
      <c r="Q462" s="420"/>
      <c r="R462" s="420"/>
      <c r="S462" s="420"/>
      <c r="T462" s="420"/>
      <c r="U462" s="420"/>
      <c r="V462" s="420"/>
      <c r="W462" s="420"/>
      <c r="X462" s="420"/>
      <c r="Y462" s="420"/>
      <c r="Z462" s="383"/>
    </row>
    <row r="463" spans="1:26" ht="15">
      <c r="A463" s="420"/>
      <c r="B463" s="420"/>
      <c r="C463" s="420"/>
      <c r="D463" s="420"/>
      <c r="E463" s="420"/>
      <c r="F463" s="420"/>
      <c r="G463" s="420"/>
      <c r="H463" s="420"/>
      <c r="I463" s="420"/>
      <c r="J463" s="420"/>
      <c r="K463" s="420"/>
      <c r="L463" s="420"/>
      <c r="M463" s="420"/>
      <c r="N463" s="420"/>
      <c r="O463" s="420"/>
      <c r="P463" s="420"/>
      <c r="Q463" s="420"/>
      <c r="R463" s="420"/>
      <c r="S463" s="420"/>
      <c r="T463" s="420"/>
      <c r="U463" s="420"/>
      <c r="V463" s="420"/>
      <c r="W463" s="420"/>
      <c r="X463" s="420"/>
      <c r="Y463" s="420"/>
      <c r="Z463" s="383"/>
    </row>
    <row r="464" spans="1:26" ht="15">
      <c r="A464" s="420"/>
      <c r="B464" s="420"/>
      <c r="C464" s="420"/>
      <c r="D464" s="420"/>
      <c r="E464" s="420"/>
      <c r="F464" s="420"/>
      <c r="G464" s="420"/>
      <c r="H464" s="420"/>
      <c r="I464" s="420"/>
      <c r="J464" s="420"/>
      <c r="K464" s="420"/>
      <c r="L464" s="420"/>
      <c r="M464" s="420"/>
      <c r="N464" s="420"/>
      <c r="O464" s="420"/>
      <c r="P464" s="420"/>
      <c r="Q464" s="420"/>
      <c r="R464" s="420"/>
      <c r="S464" s="420"/>
      <c r="T464" s="420"/>
      <c r="U464" s="420"/>
      <c r="V464" s="420"/>
      <c r="W464" s="420"/>
      <c r="X464" s="420"/>
      <c r="Y464" s="420"/>
      <c r="Z464" s="383"/>
    </row>
    <row r="465" spans="1:26" ht="15">
      <c r="A465" s="420"/>
      <c r="B465" s="420"/>
      <c r="C465" s="420"/>
      <c r="D465" s="420"/>
      <c r="E465" s="420"/>
      <c r="F465" s="420"/>
      <c r="G465" s="420"/>
      <c r="H465" s="420"/>
      <c r="I465" s="420"/>
      <c r="J465" s="420"/>
      <c r="K465" s="420"/>
      <c r="L465" s="420"/>
      <c r="M465" s="420"/>
      <c r="N465" s="420"/>
      <c r="O465" s="420"/>
      <c r="P465" s="420"/>
      <c r="Q465" s="420"/>
      <c r="R465" s="420"/>
      <c r="S465" s="420"/>
      <c r="T465" s="420"/>
      <c r="U465" s="420"/>
      <c r="V465" s="420"/>
      <c r="W465" s="420"/>
      <c r="X465" s="420"/>
      <c r="Y465" s="420"/>
      <c r="Z465" s="383"/>
    </row>
    <row r="466" spans="1:26" ht="15">
      <c r="A466" s="420"/>
      <c r="B466" s="420"/>
      <c r="C466" s="420"/>
      <c r="D466" s="420"/>
      <c r="E466" s="420"/>
      <c r="F466" s="420"/>
      <c r="G466" s="420"/>
      <c r="H466" s="420"/>
      <c r="I466" s="420"/>
      <c r="J466" s="420"/>
      <c r="K466" s="420"/>
      <c r="L466" s="420"/>
      <c r="M466" s="420"/>
      <c r="N466" s="420"/>
      <c r="O466" s="420"/>
      <c r="P466" s="420"/>
      <c r="Q466" s="420"/>
      <c r="R466" s="420"/>
      <c r="S466" s="420"/>
      <c r="T466" s="420"/>
      <c r="U466" s="420"/>
      <c r="V466" s="420"/>
      <c r="W466" s="420"/>
      <c r="X466" s="420"/>
      <c r="Y466" s="420"/>
      <c r="Z466" s="383"/>
    </row>
    <row r="467" spans="1:26" ht="15">
      <c r="A467" s="420"/>
      <c r="B467" s="420"/>
      <c r="C467" s="420"/>
      <c r="D467" s="420"/>
      <c r="E467" s="420"/>
      <c r="F467" s="420"/>
      <c r="G467" s="420"/>
      <c r="H467" s="420"/>
      <c r="I467" s="420"/>
      <c r="J467" s="420"/>
      <c r="K467" s="420"/>
      <c r="L467" s="420"/>
      <c r="M467" s="420"/>
      <c r="N467" s="420"/>
      <c r="O467" s="420"/>
      <c r="P467" s="420"/>
      <c r="Q467" s="420"/>
      <c r="R467" s="420"/>
      <c r="S467" s="420"/>
      <c r="T467" s="420"/>
      <c r="U467" s="420"/>
      <c r="V467" s="420"/>
      <c r="W467" s="420"/>
      <c r="X467" s="420"/>
      <c r="Y467" s="420"/>
      <c r="Z467" s="383"/>
    </row>
    <row r="468" spans="1:26" ht="15">
      <c r="A468" s="420"/>
      <c r="B468" s="420"/>
      <c r="C468" s="420"/>
      <c r="D468" s="420"/>
      <c r="E468" s="420"/>
      <c r="F468" s="420"/>
      <c r="G468" s="420"/>
      <c r="H468" s="420"/>
      <c r="I468" s="420"/>
      <c r="J468" s="420"/>
      <c r="K468" s="420"/>
      <c r="L468" s="420"/>
      <c r="M468" s="420"/>
      <c r="N468" s="420"/>
      <c r="O468" s="420"/>
      <c r="P468" s="420"/>
      <c r="Q468" s="420"/>
      <c r="R468" s="420"/>
      <c r="S468" s="420"/>
      <c r="T468" s="420"/>
      <c r="U468" s="420"/>
      <c r="V468" s="420"/>
      <c r="W468" s="420"/>
      <c r="X468" s="420"/>
      <c r="Y468" s="420"/>
      <c r="Z468" s="383"/>
    </row>
    <row r="469" spans="1:26" ht="15">
      <c r="A469" s="420"/>
      <c r="B469" s="420"/>
      <c r="C469" s="420"/>
      <c r="D469" s="420"/>
      <c r="E469" s="420"/>
      <c r="F469" s="420"/>
      <c r="G469" s="420"/>
      <c r="H469" s="420"/>
      <c r="I469" s="420"/>
      <c r="J469" s="420"/>
      <c r="K469" s="420"/>
      <c r="L469" s="420"/>
      <c r="M469" s="420"/>
      <c r="N469" s="420"/>
      <c r="O469" s="420"/>
      <c r="P469" s="420"/>
      <c r="Q469" s="420"/>
      <c r="R469" s="420"/>
      <c r="S469" s="420"/>
      <c r="T469" s="420"/>
      <c r="U469" s="420"/>
      <c r="V469" s="420"/>
      <c r="W469" s="420"/>
      <c r="X469" s="420"/>
      <c r="Y469" s="420"/>
      <c r="Z469" s="383"/>
    </row>
    <row r="470" spans="1:26" ht="15">
      <c r="A470" s="420"/>
      <c r="B470" s="420"/>
      <c r="C470" s="420"/>
      <c r="D470" s="420"/>
      <c r="E470" s="420"/>
      <c r="F470" s="420"/>
      <c r="G470" s="420"/>
      <c r="H470" s="420"/>
      <c r="I470" s="420"/>
      <c r="J470" s="420"/>
      <c r="K470" s="420"/>
      <c r="L470" s="420"/>
      <c r="M470" s="420"/>
      <c r="N470" s="420"/>
      <c r="O470" s="420"/>
      <c r="P470" s="420"/>
      <c r="Q470" s="420"/>
      <c r="R470" s="420"/>
      <c r="S470" s="420"/>
      <c r="T470" s="420"/>
      <c r="U470" s="420"/>
      <c r="V470" s="420"/>
      <c r="W470" s="420"/>
      <c r="X470" s="420"/>
      <c r="Y470" s="420"/>
      <c r="Z470" s="383"/>
    </row>
    <row r="471" spans="1:26" ht="15">
      <c r="A471" s="420"/>
      <c r="B471" s="420"/>
      <c r="C471" s="420"/>
      <c r="D471" s="420"/>
      <c r="E471" s="420"/>
      <c r="F471" s="420"/>
      <c r="G471" s="420"/>
      <c r="H471" s="420"/>
      <c r="I471" s="420"/>
      <c r="J471" s="420"/>
      <c r="K471" s="420"/>
      <c r="L471" s="420"/>
      <c r="M471" s="420"/>
      <c r="N471" s="420"/>
      <c r="O471" s="420"/>
      <c r="P471" s="420"/>
      <c r="Q471" s="420"/>
      <c r="R471" s="420"/>
      <c r="S471" s="420"/>
      <c r="T471" s="420"/>
      <c r="U471" s="420"/>
      <c r="V471" s="420"/>
      <c r="W471" s="420"/>
      <c r="X471" s="420"/>
      <c r="Y471" s="420"/>
      <c r="Z471" s="383"/>
    </row>
    <row r="472" spans="1:26" ht="15">
      <c r="A472" s="420"/>
      <c r="B472" s="420"/>
      <c r="C472" s="420"/>
      <c r="D472" s="420"/>
      <c r="E472" s="420"/>
      <c r="F472" s="420"/>
      <c r="G472" s="420"/>
      <c r="H472" s="420"/>
      <c r="I472" s="420"/>
      <c r="J472" s="420"/>
      <c r="K472" s="420"/>
      <c r="L472" s="420"/>
      <c r="M472" s="420"/>
      <c r="N472" s="420"/>
      <c r="O472" s="420"/>
      <c r="P472" s="420"/>
      <c r="Q472" s="420"/>
      <c r="R472" s="420"/>
      <c r="S472" s="420"/>
      <c r="T472" s="420"/>
      <c r="U472" s="420"/>
      <c r="V472" s="420"/>
      <c r="W472" s="420"/>
      <c r="X472" s="420"/>
      <c r="Y472" s="420"/>
      <c r="Z472" s="383"/>
    </row>
    <row r="473" spans="1:26" ht="15">
      <c r="A473" s="420"/>
      <c r="B473" s="420"/>
      <c r="C473" s="420"/>
      <c r="D473" s="420"/>
      <c r="E473" s="420"/>
      <c r="F473" s="420"/>
      <c r="G473" s="420"/>
      <c r="H473" s="420"/>
      <c r="I473" s="420"/>
      <c r="J473" s="420"/>
      <c r="K473" s="420"/>
      <c r="L473" s="420"/>
      <c r="M473" s="420"/>
      <c r="N473" s="420"/>
      <c r="O473" s="420"/>
      <c r="P473" s="420"/>
      <c r="Q473" s="420"/>
      <c r="R473" s="420"/>
      <c r="S473" s="420"/>
      <c r="T473" s="420"/>
      <c r="U473" s="420"/>
      <c r="V473" s="420"/>
      <c r="W473" s="420"/>
      <c r="X473" s="420"/>
      <c r="Y473" s="420"/>
      <c r="Z473" s="383"/>
    </row>
    <row r="474" spans="1:26" ht="15">
      <c r="A474" s="420"/>
      <c r="B474" s="420"/>
      <c r="C474" s="420"/>
      <c r="D474" s="420"/>
      <c r="E474" s="420"/>
      <c r="F474" s="420"/>
      <c r="G474" s="420"/>
      <c r="H474" s="420"/>
      <c r="I474" s="420"/>
      <c r="J474" s="420"/>
      <c r="K474" s="420"/>
      <c r="L474" s="420"/>
      <c r="M474" s="420"/>
      <c r="N474" s="420"/>
      <c r="O474" s="420"/>
      <c r="P474" s="420"/>
      <c r="Q474" s="420"/>
      <c r="R474" s="420"/>
      <c r="S474" s="420"/>
      <c r="T474" s="420"/>
      <c r="U474" s="420"/>
      <c r="V474" s="420"/>
      <c r="W474" s="420"/>
      <c r="X474" s="420"/>
      <c r="Y474" s="420"/>
      <c r="Z474" s="383"/>
    </row>
    <row r="475" spans="1:26" ht="15">
      <c r="A475" s="420"/>
      <c r="B475" s="420"/>
      <c r="C475" s="420"/>
      <c r="D475" s="420"/>
      <c r="E475" s="420"/>
      <c r="F475" s="420"/>
      <c r="G475" s="420"/>
      <c r="H475" s="420"/>
      <c r="I475" s="420"/>
      <c r="J475" s="420"/>
      <c r="K475" s="420"/>
      <c r="L475" s="420"/>
      <c r="M475" s="420"/>
      <c r="N475" s="420"/>
      <c r="O475" s="420"/>
      <c r="P475" s="420"/>
      <c r="Q475" s="420"/>
      <c r="R475" s="420"/>
      <c r="S475" s="420"/>
      <c r="T475" s="420"/>
      <c r="U475" s="420"/>
      <c r="V475" s="420"/>
      <c r="W475" s="420"/>
      <c r="X475" s="420"/>
      <c r="Y475" s="420"/>
      <c r="Z475" s="383"/>
    </row>
    <row r="476" spans="1:26" ht="15">
      <c r="A476" s="420"/>
      <c r="B476" s="420"/>
      <c r="C476" s="420"/>
      <c r="D476" s="420"/>
      <c r="E476" s="420"/>
      <c r="F476" s="420"/>
      <c r="G476" s="420"/>
      <c r="H476" s="420"/>
      <c r="I476" s="420"/>
      <c r="J476" s="420"/>
      <c r="K476" s="420"/>
      <c r="L476" s="420"/>
      <c r="M476" s="420"/>
      <c r="N476" s="420"/>
      <c r="O476" s="420"/>
      <c r="P476" s="420"/>
      <c r="Q476" s="420"/>
      <c r="R476" s="420"/>
      <c r="S476" s="420"/>
      <c r="T476" s="420"/>
      <c r="U476" s="420"/>
      <c r="V476" s="420"/>
      <c r="W476" s="420"/>
      <c r="X476" s="420"/>
      <c r="Y476" s="420"/>
      <c r="Z476" s="383"/>
    </row>
    <row r="477" spans="1:26" ht="15">
      <c r="A477" s="420"/>
      <c r="B477" s="420"/>
      <c r="C477" s="420"/>
      <c r="D477" s="420"/>
      <c r="E477" s="420"/>
      <c r="F477" s="420"/>
      <c r="G477" s="420"/>
      <c r="H477" s="420"/>
      <c r="I477" s="420"/>
      <c r="J477" s="420"/>
      <c r="K477" s="420"/>
      <c r="L477" s="420"/>
      <c r="M477" s="420"/>
      <c r="N477" s="420"/>
      <c r="O477" s="420"/>
      <c r="P477" s="420"/>
      <c r="Q477" s="420"/>
      <c r="R477" s="420"/>
      <c r="S477" s="420"/>
      <c r="T477" s="420"/>
      <c r="U477" s="420"/>
      <c r="V477" s="420"/>
      <c r="W477" s="420"/>
      <c r="X477" s="420"/>
      <c r="Y477" s="420"/>
      <c r="Z477" s="383"/>
    </row>
    <row r="478" spans="1:26" ht="15">
      <c r="A478" s="420"/>
      <c r="B478" s="420"/>
      <c r="C478" s="420"/>
      <c r="D478" s="420"/>
      <c r="E478" s="420"/>
      <c r="F478" s="420"/>
      <c r="G478" s="420"/>
      <c r="H478" s="420"/>
      <c r="I478" s="420"/>
      <c r="J478" s="420"/>
      <c r="K478" s="420"/>
      <c r="L478" s="420"/>
      <c r="M478" s="420"/>
      <c r="N478" s="420"/>
      <c r="O478" s="420"/>
      <c r="P478" s="420"/>
      <c r="Q478" s="420"/>
      <c r="R478" s="420"/>
      <c r="S478" s="420"/>
      <c r="T478" s="420"/>
      <c r="U478" s="420"/>
      <c r="V478" s="420"/>
      <c r="W478" s="420"/>
      <c r="X478" s="420"/>
      <c r="Y478" s="420"/>
      <c r="Z478" s="383"/>
    </row>
    <row r="479" spans="1:26" ht="15">
      <c r="A479" s="420"/>
      <c r="B479" s="420"/>
      <c r="C479" s="420"/>
      <c r="D479" s="420"/>
      <c r="E479" s="420"/>
      <c r="F479" s="420"/>
      <c r="G479" s="420"/>
      <c r="H479" s="420"/>
      <c r="I479" s="420"/>
      <c r="J479" s="420"/>
      <c r="K479" s="420"/>
      <c r="L479" s="420"/>
      <c r="M479" s="420"/>
      <c r="N479" s="420"/>
      <c r="O479" s="420"/>
      <c r="P479" s="420"/>
      <c r="Q479" s="420"/>
      <c r="R479" s="420"/>
      <c r="S479" s="420"/>
      <c r="T479" s="420"/>
      <c r="U479" s="420"/>
      <c r="V479" s="420"/>
      <c r="W479" s="420"/>
      <c r="X479" s="420"/>
      <c r="Y479" s="420"/>
      <c r="Z479" s="383"/>
    </row>
    <row r="480" spans="1:26" ht="15">
      <c r="A480" s="420"/>
      <c r="B480" s="420"/>
      <c r="C480" s="420"/>
      <c r="D480" s="420"/>
      <c r="E480" s="420"/>
      <c r="F480" s="420"/>
      <c r="G480" s="420"/>
      <c r="H480" s="420"/>
      <c r="I480" s="420"/>
      <c r="J480" s="420"/>
      <c r="K480" s="420"/>
      <c r="L480" s="420"/>
      <c r="M480" s="420"/>
      <c r="N480" s="420"/>
      <c r="O480" s="420"/>
      <c r="P480" s="420"/>
      <c r="Q480" s="420"/>
      <c r="R480" s="420"/>
      <c r="S480" s="420"/>
      <c r="T480" s="420"/>
      <c r="U480" s="420"/>
      <c r="V480" s="420"/>
      <c r="W480" s="420"/>
      <c r="X480" s="420"/>
      <c r="Y480" s="420"/>
      <c r="Z480" s="383"/>
    </row>
    <row r="481" spans="1:26" ht="15">
      <c r="A481" s="420"/>
      <c r="B481" s="420"/>
      <c r="C481" s="420"/>
      <c r="D481" s="420"/>
      <c r="E481" s="420"/>
      <c r="F481" s="420"/>
      <c r="G481" s="420"/>
      <c r="H481" s="420"/>
      <c r="I481" s="420"/>
      <c r="J481" s="420"/>
      <c r="K481" s="420"/>
      <c r="L481" s="420"/>
      <c r="M481" s="420"/>
      <c r="N481" s="420"/>
      <c r="O481" s="420"/>
      <c r="P481" s="420"/>
      <c r="Q481" s="420"/>
      <c r="R481" s="420"/>
      <c r="S481" s="420"/>
      <c r="T481" s="420"/>
      <c r="U481" s="420"/>
      <c r="V481" s="420"/>
      <c r="W481" s="420"/>
      <c r="X481" s="420"/>
      <c r="Y481" s="420"/>
      <c r="Z481" s="383"/>
    </row>
    <row r="482" spans="1:26" ht="15">
      <c r="A482" s="420"/>
      <c r="B482" s="420"/>
      <c r="C482" s="420"/>
      <c r="D482" s="420"/>
      <c r="E482" s="420"/>
      <c r="F482" s="420"/>
      <c r="G482" s="420"/>
      <c r="H482" s="420"/>
      <c r="I482" s="420"/>
      <c r="J482" s="420"/>
      <c r="K482" s="420"/>
      <c r="L482" s="420"/>
      <c r="M482" s="420"/>
      <c r="N482" s="420"/>
      <c r="O482" s="420"/>
      <c r="P482" s="420"/>
      <c r="Q482" s="420"/>
      <c r="R482" s="420"/>
      <c r="S482" s="420"/>
      <c r="T482" s="420"/>
      <c r="U482" s="420"/>
      <c r="V482" s="420"/>
      <c r="W482" s="420"/>
      <c r="X482" s="420"/>
      <c r="Y482" s="420"/>
      <c r="Z482" s="383"/>
    </row>
    <row r="483" spans="1:26" ht="15">
      <c r="A483" s="420"/>
      <c r="B483" s="420"/>
      <c r="C483" s="420"/>
      <c r="D483" s="420"/>
      <c r="E483" s="420"/>
      <c r="F483" s="420"/>
      <c r="G483" s="420"/>
      <c r="H483" s="420"/>
      <c r="I483" s="420"/>
      <c r="J483" s="420"/>
      <c r="K483" s="420"/>
      <c r="L483" s="420"/>
      <c r="M483" s="420"/>
      <c r="N483" s="420"/>
      <c r="O483" s="420"/>
      <c r="P483" s="420"/>
      <c r="Q483" s="420"/>
      <c r="R483" s="420"/>
      <c r="S483" s="420"/>
      <c r="T483" s="420"/>
      <c r="U483" s="420"/>
      <c r="V483" s="420"/>
      <c r="W483" s="420"/>
      <c r="X483" s="420"/>
      <c r="Y483" s="420"/>
      <c r="Z483" s="383"/>
    </row>
    <row r="484" spans="1:26" ht="15">
      <c r="A484" s="420"/>
      <c r="B484" s="420"/>
      <c r="C484" s="420"/>
      <c r="D484" s="420"/>
      <c r="E484" s="420"/>
      <c r="F484" s="420"/>
      <c r="G484" s="420"/>
      <c r="H484" s="420"/>
      <c r="I484" s="420"/>
      <c r="J484" s="420"/>
      <c r="K484" s="420"/>
      <c r="L484" s="420"/>
      <c r="M484" s="420"/>
      <c r="N484" s="420"/>
      <c r="O484" s="420"/>
      <c r="P484" s="420"/>
      <c r="Q484" s="420"/>
      <c r="R484" s="420"/>
      <c r="S484" s="420"/>
      <c r="T484" s="420"/>
      <c r="U484" s="420"/>
      <c r="V484" s="420"/>
      <c r="W484" s="420"/>
      <c r="X484" s="420"/>
      <c r="Y484" s="420"/>
      <c r="Z484" s="383"/>
    </row>
    <row r="485" spans="1:26" ht="15">
      <c r="A485" s="420"/>
      <c r="B485" s="420"/>
      <c r="C485" s="420"/>
      <c r="D485" s="420"/>
      <c r="E485" s="420"/>
      <c r="F485" s="420"/>
      <c r="G485" s="420"/>
      <c r="H485" s="420"/>
      <c r="I485" s="420"/>
      <c r="J485" s="420"/>
      <c r="K485" s="420"/>
      <c r="L485" s="420"/>
      <c r="M485" s="420"/>
      <c r="N485" s="420"/>
      <c r="O485" s="420"/>
      <c r="P485" s="420"/>
      <c r="Q485" s="420"/>
      <c r="R485" s="420"/>
      <c r="S485" s="420"/>
      <c r="T485" s="420"/>
      <c r="U485" s="420"/>
      <c r="V485" s="420"/>
      <c r="W485" s="420"/>
      <c r="X485" s="420"/>
      <c r="Y485" s="420"/>
      <c r="Z485" s="383"/>
    </row>
    <row r="486" spans="1:26" ht="15">
      <c r="A486" s="420"/>
      <c r="B486" s="420"/>
      <c r="C486" s="420"/>
      <c r="D486" s="420"/>
      <c r="E486" s="420"/>
      <c r="F486" s="420"/>
      <c r="G486" s="420"/>
      <c r="H486" s="420"/>
      <c r="I486" s="420"/>
      <c r="J486" s="420"/>
      <c r="K486" s="420"/>
      <c r="L486" s="420"/>
      <c r="M486" s="420"/>
      <c r="N486" s="420"/>
      <c r="O486" s="420"/>
      <c r="P486" s="420"/>
      <c r="Q486" s="420"/>
      <c r="R486" s="420"/>
      <c r="S486" s="420"/>
      <c r="T486" s="420"/>
      <c r="U486" s="420"/>
      <c r="V486" s="420"/>
      <c r="W486" s="420"/>
      <c r="X486" s="420"/>
      <c r="Y486" s="420"/>
      <c r="Z486" s="383"/>
    </row>
    <row r="487" spans="1:26" ht="15">
      <c r="A487" s="420"/>
      <c r="B487" s="420"/>
      <c r="C487" s="420"/>
      <c r="D487" s="420"/>
      <c r="E487" s="420"/>
      <c r="F487" s="420"/>
      <c r="G487" s="420"/>
      <c r="H487" s="420"/>
      <c r="I487" s="420"/>
      <c r="J487" s="420"/>
      <c r="K487" s="420"/>
      <c r="L487" s="420"/>
      <c r="M487" s="420"/>
      <c r="N487" s="420"/>
      <c r="O487" s="420"/>
      <c r="P487" s="420"/>
      <c r="Q487" s="420"/>
      <c r="R487" s="420"/>
      <c r="S487" s="420"/>
      <c r="T487" s="420"/>
      <c r="U487" s="420"/>
      <c r="V487" s="420"/>
      <c r="W487" s="420"/>
      <c r="X487" s="420"/>
      <c r="Y487" s="420"/>
      <c r="Z487" s="383"/>
    </row>
    <row r="488" spans="1:26" ht="15">
      <c r="A488" s="420"/>
      <c r="B488" s="420"/>
      <c r="C488" s="420"/>
      <c r="D488" s="420"/>
      <c r="E488" s="420"/>
      <c r="F488" s="420"/>
      <c r="G488" s="420"/>
      <c r="H488" s="420"/>
      <c r="I488" s="420"/>
      <c r="J488" s="420"/>
      <c r="K488" s="420"/>
      <c r="L488" s="420"/>
      <c r="M488" s="420"/>
      <c r="N488" s="420"/>
      <c r="O488" s="420"/>
      <c r="P488" s="420"/>
      <c r="Q488" s="420"/>
      <c r="R488" s="420"/>
      <c r="S488" s="420"/>
      <c r="T488" s="420"/>
      <c r="U488" s="420"/>
      <c r="V488" s="420"/>
      <c r="W488" s="420"/>
      <c r="X488" s="420"/>
      <c r="Y488" s="420"/>
      <c r="Z488" s="383"/>
    </row>
    <row r="489" spans="1:26" ht="15">
      <c r="A489" s="420"/>
      <c r="B489" s="420"/>
      <c r="C489" s="420"/>
      <c r="D489" s="420"/>
      <c r="E489" s="420"/>
      <c r="F489" s="420"/>
      <c r="G489" s="420"/>
      <c r="H489" s="420"/>
      <c r="I489" s="420"/>
      <c r="J489" s="420"/>
      <c r="K489" s="420"/>
      <c r="L489" s="420"/>
      <c r="M489" s="420"/>
      <c r="N489" s="420"/>
      <c r="O489" s="420"/>
      <c r="P489" s="420"/>
      <c r="Q489" s="420"/>
      <c r="R489" s="420"/>
      <c r="S489" s="420"/>
      <c r="T489" s="420"/>
      <c r="U489" s="420"/>
      <c r="V489" s="420"/>
      <c r="W489" s="420"/>
      <c r="X489" s="420"/>
      <c r="Y489" s="420"/>
      <c r="Z489" s="383"/>
    </row>
    <row r="490" spans="1:26" ht="15">
      <c r="A490" s="420"/>
      <c r="B490" s="420"/>
      <c r="C490" s="420"/>
      <c r="D490" s="420"/>
      <c r="E490" s="420"/>
      <c r="F490" s="420"/>
      <c r="G490" s="420"/>
      <c r="H490" s="420"/>
      <c r="I490" s="420"/>
      <c r="J490" s="420"/>
      <c r="K490" s="420"/>
      <c r="L490" s="420"/>
      <c r="M490" s="420"/>
      <c r="N490" s="420"/>
      <c r="O490" s="420"/>
      <c r="P490" s="420"/>
      <c r="Q490" s="420"/>
      <c r="R490" s="420"/>
      <c r="S490" s="420"/>
      <c r="T490" s="420"/>
      <c r="U490" s="420"/>
      <c r="V490" s="420"/>
      <c r="W490" s="420"/>
      <c r="X490" s="420"/>
      <c r="Y490" s="420"/>
      <c r="Z490" s="383"/>
    </row>
    <row r="491" spans="1:26" ht="15">
      <c r="A491" s="420"/>
      <c r="B491" s="420"/>
      <c r="C491" s="420"/>
      <c r="D491" s="420"/>
      <c r="E491" s="420"/>
      <c r="F491" s="420"/>
      <c r="G491" s="420"/>
      <c r="H491" s="420"/>
      <c r="I491" s="420"/>
      <c r="J491" s="420"/>
      <c r="K491" s="420"/>
      <c r="L491" s="420"/>
      <c r="M491" s="420"/>
      <c r="N491" s="420"/>
      <c r="O491" s="420"/>
      <c r="P491" s="420"/>
      <c r="Q491" s="420"/>
      <c r="R491" s="420"/>
      <c r="S491" s="420"/>
      <c r="T491" s="420"/>
      <c r="U491" s="420"/>
      <c r="V491" s="420"/>
      <c r="W491" s="420"/>
      <c r="X491" s="420"/>
      <c r="Y491" s="420"/>
      <c r="Z491" s="383"/>
    </row>
    <row r="492" spans="1:26" ht="15">
      <c r="A492" s="420"/>
      <c r="B492" s="420"/>
      <c r="C492" s="420"/>
      <c r="D492" s="420"/>
      <c r="E492" s="420"/>
      <c r="F492" s="420"/>
      <c r="G492" s="420"/>
      <c r="H492" s="420"/>
      <c r="I492" s="420"/>
      <c r="J492" s="420"/>
      <c r="K492" s="420"/>
      <c r="L492" s="420"/>
      <c r="M492" s="420"/>
      <c r="N492" s="420"/>
      <c r="O492" s="420"/>
      <c r="P492" s="420"/>
      <c r="Q492" s="420"/>
      <c r="R492" s="420"/>
      <c r="S492" s="420"/>
      <c r="T492" s="420"/>
      <c r="U492" s="420"/>
      <c r="V492" s="420"/>
      <c r="W492" s="420"/>
      <c r="X492" s="420"/>
      <c r="Y492" s="420"/>
      <c r="Z492" s="383"/>
    </row>
    <row r="493" spans="1:26" ht="15">
      <c r="A493" s="420"/>
      <c r="B493" s="420"/>
      <c r="C493" s="420"/>
      <c r="D493" s="420"/>
      <c r="E493" s="420"/>
      <c r="F493" s="420"/>
      <c r="G493" s="420"/>
      <c r="H493" s="420"/>
      <c r="I493" s="420"/>
      <c r="J493" s="420"/>
      <c r="K493" s="420"/>
      <c r="L493" s="420"/>
      <c r="M493" s="420"/>
      <c r="N493" s="420"/>
      <c r="O493" s="420"/>
      <c r="P493" s="420"/>
      <c r="Q493" s="420"/>
      <c r="R493" s="420"/>
      <c r="S493" s="420"/>
      <c r="T493" s="420"/>
      <c r="U493" s="420"/>
      <c r="V493" s="420"/>
      <c r="W493" s="420"/>
      <c r="X493" s="420"/>
      <c r="Y493" s="420"/>
      <c r="Z493" s="383"/>
    </row>
    <row r="494" spans="1:26" ht="15">
      <c r="A494" s="420"/>
      <c r="B494" s="420"/>
      <c r="C494" s="420"/>
      <c r="D494" s="420"/>
      <c r="E494" s="420"/>
      <c r="F494" s="420"/>
      <c r="G494" s="420"/>
      <c r="H494" s="420"/>
      <c r="I494" s="420"/>
      <c r="J494" s="420"/>
      <c r="K494" s="420"/>
      <c r="L494" s="420"/>
      <c r="M494" s="420"/>
      <c r="N494" s="420"/>
      <c r="O494" s="420"/>
      <c r="P494" s="420"/>
      <c r="Q494" s="420"/>
      <c r="R494" s="420"/>
      <c r="S494" s="420"/>
      <c r="T494" s="420"/>
      <c r="U494" s="420"/>
      <c r="V494" s="420"/>
      <c r="W494" s="420"/>
      <c r="X494" s="420"/>
      <c r="Y494" s="420"/>
      <c r="Z494" s="383"/>
    </row>
    <row r="495" spans="1:26" ht="15">
      <c r="A495" s="420"/>
      <c r="B495" s="420"/>
      <c r="C495" s="420"/>
      <c r="D495" s="420"/>
      <c r="E495" s="420"/>
      <c r="F495" s="420"/>
      <c r="G495" s="420"/>
      <c r="H495" s="420"/>
      <c r="I495" s="420"/>
      <c r="J495" s="420"/>
      <c r="K495" s="420"/>
      <c r="L495" s="420"/>
      <c r="M495" s="420"/>
      <c r="N495" s="420"/>
      <c r="O495" s="420"/>
      <c r="P495" s="420"/>
      <c r="Q495" s="420"/>
      <c r="R495" s="420"/>
      <c r="S495" s="420"/>
      <c r="T495" s="420"/>
      <c r="U495" s="420"/>
      <c r="V495" s="420"/>
      <c r="W495" s="420"/>
      <c r="X495" s="420"/>
      <c r="Y495" s="420"/>
      <c r="Z495" s="383"/>
    </row>
    <row r="496" spans="1:26" ht="15">
      <c r="A496" s="420"/>
      <c r="B496" s="420"/>
      <c r="C496" s="420"/>
      <c r="D496" s="420"/>
      <c r="E496" s="420"/>
      <c r="F496" s="420"/>
      <c r="G496" s="420"/>
      <c r="H496" s="420"/>
      <c r="I496" s="420"/>
      <c r="J496" s="420"/>
      <c r="K496" s="420"/>
      <c r="L496" s="420"/>
      <c r="M496" s="420"/>
      <c r="N496" s="420"/>
      <c r="O496" s="420"/>
      <c r="P496" s="420"/>
      <c r="Q496" s="420"/>
      <c r="R496" s="420"/>
      <c r="S496" s="420"/>
      <c r="T496" s="420"/>
      <c r="U496" s="420"/>
      <c r="V496" s="420"/>
      <c r="W496" s="420"/>
      <c r="X496" s="420"/>
      <c r="Y496" s="420"/>
      <c r="Z496" s="383"/>
    </row>
    <row r="497" spans="1:26" ht="15">
      <c r="A497" s="420"/>
      <c r="B497" s="420"/>
      <c r="C497" s="420"/>
      <c r="D497" s="420"/>
      <c r="E497" s="420"/>
      <c r="F497" s="420"/>
      <c r="G497" s="420"/>
      <c r="H497" s="420"/>
      <c r="I497" s="420"/>
      <c r="J497" s="420"/>
      <c r="K497" s="420"/>
      <c r="L497" s="420"/>
      <c r="M497" s="420"/>
      <c r="N497" s="420"/>
      <c r="O497" s="420"/>
      <c r="P497" s="420"/>
      <c r="Q497" s="420"/>
      <c r="R497" s="420"/>
      <c r="S497" s="420"/>
      <c r="T497" s="420"/>
      <c r="U497" s="420"/>
      <c r="V497" s="420"/>
      <c r="W497" s="420"/>
      <c r="X497" s="420"/>
      <c r="Y497" s="420"/>
      <c r="Z497" s="383"/>
    </row>
    <row r="498" spans="1:26" ht="15">
      <c r="A498" s="420"/>
      <c r="B498" s="420"/>
      <c r="C498" s="420"/>
      <c r="D498" s="420"/>
      <c r="E498" s="420"/>
      <c r="F498" s="420"/>
      <c r="G498" s="420"/>
      <c r="H498" s="420"/>
      <c r="I498" s="420"/>
      <c r="J498" s="420"/>
      <c r="K498" s="420"/>
      <c r="L498" s="420"/>
      <c r="M498" s="420"/>
      <c r="N498" s="420"/>
      <c r="O498" s="420"/>
      <c r="P498" s="420"/>
      <c r="Q498" s="420"/>
      <c r="R498" s="420"/>
      <c r="S498" s="420"/>
      <c r="T498" s="420"/>
      <c r="U498" s="420"/>
      <c r="V498" s="420"/>
      <c r="W498" s="420"/>
      <c r="X498" s="420"/>
      <c r="Y498" s="420"/>
      <c r="Z498" s="383"/>
    </row>
    <row r="499" spans="1:26" ht="15">
      <c r="A499" s="420"/>
      <c r="B499" s="420"/>
      <c r="C499" s="420"/>
      <c r="D499" s="420"/>
      <c r="E499" s="420"/>
      <c r="F499" s="420"/>
      <c r="G499" s="420"/>
      <c r="H499" s="420"/>
      <c r="I499" s="420"/>
      <c r="J499" s="420"/>
      <c r="K499" s="420"/>
      <c r="L499" s="420"/>
      <c r="M499" s="420"/>
      <c r="N499" s="420"/>
      <c r="O499" s="420"/>
      <c r="P499" s="420"/>
      <c r="Q499" s="420"/>
      <c r="R499" s="420"/>
      <c r="S499" s="420"/>
      <c r="T499" s="420"/>
      <c r="U499" s="420"/>
      <c r="V499" s="420"/>
      <c r="W499" s="420"/>
      <c r="X499" s="420"/>
      <c r="Y499" s="420"/>
      <c r="Z499" s="383"/>
    </row>
    <row r="500" spans="1:26" ht="15">
      <c r="A500" s="420"/>
      <c r="B500" s="420"/>
      <c r="C500" s="420"/>
      <c r="D500" s="420"/>
      <c r="E500" s="420"/>
      <c r="F500" s="420"/>
      <c r="G500" s="420"/>
      <c r="H500" s="420"/>
      <c r="I500" s="420"/>
      <c r="J500" s="420"/>
      <c r="K500" s="420"/>
      <c r="L500" s="420"/>
      <c r="M500" s="420"/>
      <c r="N500" s="420"/>
      <c r="O500" s="420"/>
      <c r="P500" s="420"/>
      <c r="Q500" s="420"/>
      <c r="R500" s="420"/>
      <c r="S500" s="420"/>
      <c r="T500" s="420"/>
      <c r="U500" s="420"/>
      <c r="V500" s="420"/>
      <c r="W500" s="420"/>
      <c r="X500" s="420"/>
      <c r="Y500" s="420"/>
      <c r="Z500" s="383"/>
    </row>
    <row r="501" spans="1:26" ht="15">
      <c r="A501" s="420"/>
      <c r="B501" s="420"/>
      <c r="C501" s="420"/>
      <c r="D501" s="420"/>
      <c r="E501" s="420"/>
      <c r="F501" s="420"/>
      <c r="G501" s="420"/>
      <c r="H501" s="420"/>
      <c r="I501" s="420"/>
      <c r="J501" s="420"/>
      <c r="K501" s="420"/>
      <c r="L501" s="420"/>
      <c r="M501" s="420"/>
      <c r="N501" s="420"/>
      <c r="O501" s="420"/>
      <c r="P501" s="420"/>
      <c r="Q501" s="420"/>
      <c r="R501" s="420"/>
      <c r="S501" s="420"/>
      <c r="T501" s="420"/>
      <c r="U501" s="420"/>
      <c r="V501" s="420"/>
      <c r="W501" s="420"/>
      <c r="X501" s="420"/>
      <c r="Y501" s="420"/>
      <c r="Z501" s="383"/>
    </row>
    <row r="502" spans="1:26" ht="15">
      <c r="A502" s="420"/>
      <c r="B502" s="420"/>
      <c r="C502" s="420"/>
      <c r="D502" s="420"/>
      <c r="E502" s="420"/>
      <c r="F502" s="420"/>
      <c r="G502" s="420"/>
      <c r="H502" s="420"/>
      <c r="I502" s="420"/>
      <c r="J502" s="420"/>
      <c r="K502" s="420"/>
      <c r="L502" s="420"/>
      <c r="M502" s="420"/>
      <c r="N502" s="420"/>
      <c r="O502" s="420"/>
      <c r="P502" s="420"/>
      <c r="Q502" s="420"/>
      <c r="R502" s="420"/>
      <c r="S502" s="420"/>
      <c r="T502" s="420"/>
      <c r="U502" s="420"/>
      <c r="V502" s="420"/>
      <c r="W502" s="420"/>
      <c r="X502" s="420"/>
      <c r="Y502" s="420"/>
      <c r="Z502" s="383"/>
    </row>
    <row r="503" spans="1:26" ht="15">
      <c r="A503" s="420"/>
      <c r="B503" s="420"/>
      <c r="C503" s="420"/>
      <c r="D503" s="420"/>
      <c r="E503" s="420"/>
      <c r="F503" s="420"/>
      <c r="G503" s="420"/>
      <c r="H503" s="420"/>
      <c r="I503" s="420"/>
      <c r="J503" s="420"/>
      <c r="K503" s="420"/>
      <c r="L503" s="420"/>
      <c r="M503" s="420"/>
      <c r="N503" s="420"/>
      <c r="O503" s="420"/>
      <c r="P503" s="420"/>
      <c r="Q503" s="420"/>
      <c r="R503" s="420"/>
      <c r="S503" s="420"/>
      <c r="T503" s="420"/>
      <c r="U503" s="420"/>
      <c r="V503" s="420"/>
      <c r="W503" s="420"/>
      <c r="X503" s="420"/>
      <c r="Y503" s="420"/>
      <c r="Z503" s="383"/>
    </row>
    <row r="504" spans="1:26" ht="15">
      <c r="A504" s="420"/>
      <c r="B504" s="420"/>
      <c r="C504" s="420"/>
      <c r="D504" s="420"/>
      <c r="E504" s="420"/>
      <c r="F504" s="420"/>
      <c r="G504" s="420"/>
      <c r="H504" s="420"/>
      <c r="I504" s="420"/>
      <c r="J504" s="420"/>
      <c r="K504" s="420"/>
      <c r="L504" s="420"/>
      <c r="M504" s="420"/>
      <c r="N504" s="420"/>
      <c r="O504" s="420"/>
      <c r="P504" s="420"/>
      <c r="Q504" s="420"/>
      <c r="R504" s="420"/>
      <c r="S504" s="420"/>
      <c r="T504" s="420"/>
      <c r="U504" s="420"/>
      <c r="V504" s="420"/>
      <c r="W504" s="420"/>
      <c r="X504" s="420"/>
      <c r="Y504" s="420"/>
      <c r="Z504" s="383"/>
    </row>
    <row r="505" spans="1:26" ht="15">
      <c r="A505" s="420"/>
      <c r="B505" s="420"/>
      <c r="C505" s="420"/>
      <c r="D505" s="420"/>
      <c r="E505" s="420"/>
      <c r="F505" s="420"/>
      <c r="G505" s="420"/>
      <c r="H505" s="420"/>
      <c r="I505" s="420"/>
      <c r="J505" s="420"/>
      <c r="K505" s="420"/>
      <c r="L505" s="420"/>
      <c r="M505" s="420"/>
      <c r="N505" s="420"/>
      <c r="O505" s="420"/>
      <c r="P505" s="420"/>
      <c r="Q505" s="420"/>
      <c r="R505" s="420"/>
      <c r="S505" s="420"/>
      <c r="T505" s="420"/>
      <c r="U505" s="420"/>
      <c r="V505" s="420"/>
      <c r="W505" s="420"/>
      <c r="X505" s="420"/>
      <c r="Y505" s="420"/>
      <c r="Z505" s="383"/>
    </row>
    <row r="506" spans="1:26" ht="15">
      <c r="A506" s="420"/>
      <c r="B506" s="420"/>
      <c r="C506" s="420"/>
      <c r="D506" s="420"/>
      <c r="E506" s="420"/>
      <c r="F506" s="420"/>
      <c r="G506" s="420"/>
      <c r="H506" s="420"/>
      <c r="I506" s="420"/>
      <c r="J506" s="420"/>
      <c r="K506" s="420"/>
      <c r="L506" s="420"/>
      <c r="M506" s="420"/>
      <c r="N506" s="420"/>
      <c r="O506" s="420"/>
      <c r="P506" s="420"/>
      <c r="Q506" s="420"/>
      <c r="R506" s="420"/>
      <c r="S506" s="420"/>
      <c r="T506" s="420"/>
      <c r="U506" s="420"/>
      <c r="V506" s="420"/>
      <c r="W506" s="420"/>
      <c r="X506" s="420"/>
      <c r="Y506" s="420"/>
      <c r="Z506" s="383"/>
    </row>
    <row r="507" spans="1:26" ht="15">
      <c r="A507" s="420"/>
      <c r="B507" s="420"/>
      <c r="C507" s="420"/>
      <c r="D507" s="420"/>
      <c r="E507" s="420"/>
      <c r="F507" s="420"/>
      <c r="G507" s="420"/>
      <c r="H507" s="420"/>
      <c r="I507" s="420"/>
      <c r="J507" s="420"/>
      <c r="K507" s="420"/>
      <c r="L507" s="420"/>
      <c r="M507" s="420"/>
      <c r="N507" s="420"/>
      <c r="O507" s="420"/>
      <c r="P507" s="420"/>
      <c r="Q507" s="420"/>
      <c r="R507" s="420"/>
      <c r="S507" s="420"/>
      <c r="T507" s="420"/>
      <c r="U507" s="420"/>
      <c r="V507" s="420"/>
      <c r="W507" s="420"/>
      <c r="X507" s="420"/>
      <c r="Y507" s="420"/>
      <c r="Z507" s="383"/>
    </row>
    <row r="508" spans="1:26" ht="15">
      <c r="A508" s="420"/>
      <c r="B508" s="420"/>
      <c r="C508" s="420"/>
      <c r="D508" s="420"/>
      <c r="E508" s="420"/>
      <c r="F508" s="420"/>
      <c r="G508" s="420"/>
      <c r="H508" s="420"/>
      <c r="I508" s="420"/>
      <c r="J508" s="420"/>
      <c r="K508" s="420"/>
      <c r="L508" s="420"/>
      <c r="M508" s="420"/>
      <c r="N508" s="420"/>
      <c r="O508" s="420"/>
      <c r="P508" s="420"/>
      <c r="Q508" s="420"/>
      <c r="R508" s="420"/>
      <c r="S508" s="420"/>
      <c r="T508" s="420"/>
      <c r="U508" s="420"/>
      <c r="V508" s="420"/>
      <c r="W508" s="420"/>
      <c r="X508" s="420"/>
      <c r="Y508" s="420"/>
      <c r="Z508" s="383"/>
    </row>
    <row r="509" spans="1:26" ht="15">
      <c r="A509" s="420"/>
      <c r="B509" s="420"/>
      <c r="C509" s="420"/>
      <c r="D509" s="420"/>
      <c r="E509" s="420"/>
      <c r="F509" s="420"/>
      <c r="G509" s="420"/>
      <c r="H509" s="420"/>
      <c r="I509" s="420"/>
      <c r="J509" s="420"/>
      <c r="K509" s="420"/>
      <c r="L509" s="420"/>
      <c r="M509" s="420"/>
      <c r="N509" s="420"/>
      <c r="O509" s="420"/>
      <c r="P509" s="420"/>
      <c r="Q509" s="420"/>
      <c r="R509" s="420"/>
      <c r="S509" s="420"/>
      <c r="T509" s="420"/>
      <c r="U509" s="420"/>
      <c r="V509" s="420"/>
      <c r="W509" s="420"/>
      <c r="X509" s="420"/>
      <c r="Y509" s="420"/>
      <c r="Z509" s="383"/>
    </row>
    <row r="510" spans="1:26" ht="15">
      <c r="A510" s="420"/>
      <c r="B510" s="420"/>
      <c r="C510" s="420"/>
      <c r="D510" s="420"/>
      <c r="E510" s="420"/>
      <c r="F510" s="420"/>
      <c r="G510" s="420"/>
      <c r="H510" s="420"/>
      <c r="I510" s="420"/>
      <c r="J510" s="420"/>
      <c r="K510" s="420"/>
      <c r="L510" s="420"/>
      <c r="M510" s="420"/>
      <c r="N510" s="420"/>
      <c r="O510" s="420"/>
      <c r="P510" s="420"/>
      <c r="Q510" s="420"/>
      <c r="R510" s="420"/>
      <c r="S510" s="420"/>
      <c r="T510" s="420"/>
      <c r="U510" s="420"/>
      <c r="V510" s="420"/>
      <c r="W510" s="420"/>
      <c r="X510" s="420"/>
      <c r="Y510" s="420"/>
      <c r="Z510" s="383"/>
    </row>
    <row r="511" spans="1:26" ht="15">
      <c r="A511" s="420"/>
      <c r="B511" s="420"/>
      <c r="C511" s="420"/>
      <c r="D511" s="420"/>
      <c r="E511" s="420"/>
      <c r="F511" s="420"/>
      <c r="G511" s="420"/>
      <c r="H511" s="420"/>
      <c r="I511" s="420"/>
      <c r="J511" s="420"/>
      <c r="K511" s="420"/>
      <c r="L511" s="420"/>
      <c r="M511" s="420"/>
      <c r="N511" s="420"/>
      <c r="O511" s="420"/>
      <c r="P511" s="420"/>
      <c r="Q511" s="420"/>
      <c r="R511" s="420"/>
      <c r="S511" s="420"/>
      <c r="T511" s="420"/>
      <c r="U511" s="420"/>
      <c r="V511" s="420"/>
      <c r="W511" s="420"/>
      <c r="X511" s="420"/>
      <c r="Y511" s="420"/>
      <c r="Z511" s="383"/>
    </row>
    <row r="512" spans="1:26" ht="15">
      <c r="A512" s="420"/>
      <c r="B512" s="420"/>
      <c r="C512" s="420"/>
      <c r="D512" s="420"/>
      <c r="E512" s="420"/>
      <c r="F512" s="420"/>
      <c r="G512" s="420"/>
      <c r="H512" s="420"/>
      <c r="I512" s="420"/>
      <c r="J512" s="420"/>
      <c r="K512" s="420"/>
      <c r="L512" s="420"/>
      <c r="M512" s="420"/>
      <c r="N512" s="420"/>
      <c r="O512" s="420"/>
      <c r="P512" s="420"/>
      <c r="Q512" s="420"/>
      <c r="R512" s="420"/>
      <c r="S512" s="420"/>
      <c r="T512" s="420"/>
      <c r="U512" s="420"/>
      <c r="V512" s="420"/>
      <c r="W512" s="420"/>
      <c r="X512" s="420"/>
      <c r="Y512" s="420"/>
      <c r="Z512" s="383"/>
    </row>
    <row r="513" spans="1:26" ht="15">
      <c r="A513" s="420"/>
      <c r="B513" s="420"/>
      <c r="C513" s="420"/>
      <c r="D513" s="420"/>
      <c r="E513" s="420"/>
      <c r="F513" s="420"/>
      <c r="G513" s="420"/>
      <c r="H513" s="420"/>
      <c r="I513" s="420"/>
      <c r="J513" s="420"/>
      <c r="K513" s="420"/>
      <c r="L513" s="420"/>
      <c r="M513" s="420"/>
      <c r="N513" s="420"/>
      <c r="O513" s="420"/>
      <c r="P513" s="420"/>
      <c r="Q513" s="420"/>
      <c r="R513" s="420"/>
      <c r="S513" s="420"/>
      <c r="T513" s="420"/>
      <c r="U513" s="420"/>
      <c r="V513" s="420"/>
      <c r="W513" s="420"/>
      <c r="X513" s="420"/>
      <c r="Y513" s="420"/>
      <c r="Z513" s="383"/>
    </row>
    <row r="514" spans="1:26" ht="15">
      <c r="A514" s="420"/>
      <c r="B514" s="420"/>
      <c r="C514" s="420"/>
      <c r="D514" s="420"/>
      <c r="E514" s="420"/>
      <c r="F514" s="420"/>
      <c r="G514" s="420"/>
      <c r="H514" s="420"/>
      <c r="I514" s="420"/>
      <c r="J514" s="420"/>
      <c r="K514" s="420"/>
      <c r="L514" s="420"/>
      <c r="M514" s="420"/>
      <c r="N514" s="420"/>
      <c r="O514" s="420"/>
      <c r="P514" s="420"/>
      <c r="Q514" s="420"/>
      <c r="R514" s="420"/>
      <c r="S514" s="420"/>
      <c r="T514" s="420"/>
      <c r="U514" s="420"/>
      <c r="V514" s="420"/>
      <c r="W514" s="420"/>
      <c r="X514" s="420"/>
      <c r="Y514" s="420"/>
      <c r="Z514" s="383"/>
    </row>
    <row r="515" spans="1:26" ht="15">
      <c r="A515" s="420"/>
      <c r="B515" s="420"/>
      <c r="C515" s="420"/>
      <c r="D515" s="420"/>
      <c r="E515" s="420"/>
      <c r="F515" s="420"/>
      <c r="G515" s="420"/>
      <c r="H515" s="420"/>
      <c r="I515" s="420"/>
      <c r="J515" s="420"/>
      <c r="K515" s="420"/>
      <c r="L515" s="420"/>
      <c r="M515" s="420"/>
      <c r="N515" s="420"/>
      <c r="O515" s="420"/>
      <c r="P515" s="420"/>
      <c r="Q515" s="420"/>
      <c r="R515" s="420"/>
      <c r="S515" s="420"/>
      <c r="T515" s="420"/>
      <c r="U515" s="420"/>
      <c r="V515" s="420"/>
      <c r="W515" s="420"/>
      <c r="X515" s="420"/>
      <c r="Y515" s="420"/>
      <c r="Z515" s="383"/>
    </row>
    <row r="516" spans="1:26" ht="15">
      <c r="A516" s="420"/>
      <c r="B516" s="420"/>
      <c r="C516" s="420"/>
      <c r="D516" s="420"/>
      <c r="E516" s="420"/>
      <c r="F516" s="420"/>
      <c r="G516" s="420"/>
      <c r="H516" s="420"/>
      <c r="I516" s="420"/>
      <c r="J516" s="420"/>
      <c r="K516" s="420"/>
      <c r="L516" s="420"/>
      <c r="M516" s="420"/>
      <c r="N516" s="420"/>
      <c r="O516" s="420"/>
      <c r="P516" s="420"/>
      <c r="Q516" s="420"/>
      <c r="R516" s="420"/>
      <c r="S516" s="420"/>
      <c r="T516" s="420"/>
      <c r="U516" s="420"/>
      <c r="V516" s="420"/>
      <c r="W516" s="420"/>
      <c r="X516" s="420"/>
      <c r="Y516" s="420"/>
      <c r="Z516" s="383"/>
    </row>
    <row r="517" spans="1:26" ht="15">
      <c r="A517" s="420"/>
      <c r="B517" s="420"/>
      <c r="C517" s="420"/>
      <c r="D517" s="420"/>
      <c r="E517" s="420"/>
      <c r="F517" s="420"/>
      <c r="G517" s="420"/>
      <c r="H517" s="420"/>
      <c r="I517" s="420"/>
      <c r="J517" s="420"/>
      <c r="K517" s="420"/>
      <c r="L517" s="420"/>
      <c r="M517" s="420"/>
      <c r="N517" s="420"/>
      <c r="O517" s="420"/>
      <c r="P517" s="420"/>
      <c r="Q517" s="420"/>
      <c r="R517" s="420"/>
      <c r="S517" s="420"/>
      <c r="T517" s="420"/>
      <c r="U517" s="420"/>
      <c r="V517" s="420"/>
      <c r="W517" s="420"/>
      <c r="X517" s="420"/>
      <c r="Y517" s="420"/>
      <c r="Z517" s="383"/>
    </row>
    <row r="518" spans="1:26" ht="15">
      <c r="A518" s="420"/>
      <c r="B518" s="420"/>
      <c r="C518" s="420"/>
      <c r="D518" s="420"/>
      <c r="E518" s="420"/>
      <c r="F518" s="420"/>
      <c r="G518" s="420"/>
      <c r="H518" s="420"/>
      <c r="I518" s="420"/>
      <c r="J518" s="420"/>
      <c r="K518" s="420"/>
      <c r="L518" s="420"/>
      <c r="M518" s="420"/>
      <c r="N518" s="420"/>
      <c r="O518" s="420"/>
      <c r="P518" s="420"/>
      <c r="Q518" s="420"/>
      <c r="R518" s="420"/>
      <c r="S518" s="420"/>
      <c r="T518" s="420"/>
      <c r="U518" s="420"/>
      <c r="V518" s="420"/>
      <c r="W518" s="420"/>
      <c r="X518" s="420"/>
      <c r="Y518" s="420"/>
      <c r="Z518" s="383"/>
    </row>
    <row r="519" spans="1:26" ht="15">
      <c r="A519" s="420"/>
      <c r="B519" s="420"/>
      <c r="C519" s="420"/>
      <c r="D519" s="420"/>
      <c r="E519" s="420"/>
      <c r="F519" s="420"/>
      <c r="G519" s="420"/>
      <c r="H519" s="420"/>
      <c r="I519" s="420"/>
      <c r="J519" s="420"/>
      <c r="K519" s="420"/>
      <c r="L519" s="420"/>
      <c r="M519" s="420"/>
      <c r="N519" s="420"/>
      <c r="O519" s="420"/>
      <c r="P519" s="420"/>
      <c r="Q519" s="420"/>
      <c r="R519" s="420"/>
      <c r="S519" s="420"/>
      <c r="T519" s="420"/>
      <c r="U519" s="420"/>
      <c r="V519" s="420"/>
      <c r="W519" s="420"/>
      <c r="X519" s="420"/>
      <c r="Y519" s="420"/>
      <c r="Z519" s="383"/>
    </row>
    <row r="520" spans="1:26" ht="15">
      <c r="A520" s="420"/>
      <c r="B520" s="420"/>
      <c r="C520" s="420"/>
      <c r="D520" s="420"/>
      <c r="E520" s="420"/>
      <c r="F520" s="420"/>
      <c r="G520" s="420"/>
      <c r="H520" s="420"/>
      <c r="I520" s="420"/>
      <c r="J520" s="420"/>
      <c r="K520" s="420"/>
      <c r="L520" s="420"/>
      <c r="M520" s="420"/>
      <c r="N520" s="420"/>
      <c r="O520" s="420"/>
      <c r="P520" s="420"/>
      <c r="Q520" s="420"/>
      <c r="R520" s="420"/>
      <c r="S520" s="420"/>
      <c r="T520" s="420"/>
      <c r="U520" s="420"/>
      <c r="V520" s="420"/>
      <c r="W520" s="420"/>
      <c r="X520" s="420"/>
      <c r="Y520" s="420"/>
      <c r="Z520" s="383"/>
    </row>
    <row r="521" spans="1:26" ht="15">
      <c r="A521" s="420"/>
      <c r="B521" s="420"/>
      <c r="C521" s="420"/>
      <c r="D521" s="420"/>
      <c r="E521" s="420"/>
      <c r="F521" s="420"/>
      <c r="G521" s="420"/>
      <c r="H521" s="420"/>
      <c r="I521" s="420"/>
      <c r="J521" s="420"/>
      <c r="K521" s="420"/>
      <c r="L521" s="420"/>
      <c r="M521" s="420"/>
      <c r="N521" s="420"/>
      <c r="O521" s="420"/>
      <c r="P521" s="420"/>
      <c r="Q521" s="420"/>
      <c r="R521" s="420"/>
      <c r="S521" s="420"/>
      <c r="T521" s="420"/>
      <c r="U521" s="420"/>
      <c r="V521" s="420"/>
      <c r="W521" s="420"/>
      <c r="X521" s="420"/>
      <c r="Y521" s="420"/>
      <c r="Z521" s="383"/>
    </row>
    <row r="522" spans="1:26" ht="15">
      <c r="A522" s="420"/>
      <c r="B522" s="420"/>
      <c r="C522" s="420"/>
      <c r="D522" s="420"/>
      <c r="E522" s="420"/>
      <c r="F522" s="420"/>
      <c r="G522" s="420"/>
      <c r="H522" s="420"/>
      <c r="I522" s="420"/>
      <c r="J522" s="420"/>
      <c r="K522" s="420"/>
      <c r="L522" s="420"/>
      <c r="M522" s="420"/>
      <c r="N522" s="420"/>
      <c r="O522" s="420"/>
      <c r="P522" s="420"/>
      <c r="Q522" s="420"/>
      <c r="R522" s="420"/>
      <c r="S522" s="420"/>
      <c r="T522" s="420"/>
      <c r="U522" s="420"/>
      <c r="V522" s="420"/>
      <c r="W522" s="420"/>
      <c r="X522" s="420"/>
      <c r="Y522" s="420"/>
      <c r="Z522" s="383"/>
    </row>
    <row r="523" spans="1:26" ht="15">
      <c r="A523" s="420"/>
      <c r="B523" s="420"/>
      <c r="C523" s="420"/>
      <c r="D523" s="420"/>
      <c r="E523" s="420"/>
      <c r="F523" s="420"/>
      <c r="G523" s="420"/>
      <c r="H523" s="420"/>
      <c r="I523" s="420"/>
      <c r="J523" s="420"/>
      <c r="K523" s="420"/>
      <c r="L523" s="420"/>
      <c r="M523" s="420"/>
      <c r="N523" s="420"/>
      <c r="O523" s="420"/>
      <c r="P523" s="420"/>
      <c r="Q523" s="420"/>
      <c r="R523" s="420"/>
      <c r="S523" s="420"/>
      <c r="T523" s="420"/>
      <c r="U523" s="420"/>
      <c r="V523" s="420"/>
      <c r="W523" s="420"/>
      <c r="X523" s="420"/>
      <c r="Y523" s="420"/>
      <c r="Z523" s="383"/>
    </row>
    <row r="524" spans="1:26" ht="15">
      <c r="A524" s="420"/>
      <c r="B524" s="420"/>
      <c r="C524" s="420"/>
      <c r="D524" s="420"/>
      <c r="E524" s="420"/>
      <c r="F524" s="420"/>
      <c r="G524" s="420"/>
      <c r="H524" s="420"/>
      <c r="I524" s="420"/>
      <c r="J524" s="420"/>
      <c r="K524" s="420"/>
      <c r="L524" s="420"/>
      <c r="M524" s="420"/>
      <c r="N524" s="420"/>
      <c r="O524" s="420"/>
      <c r="P524" s="420"/>
      <c r="Q524" s="420"/>
      <c r="R524" s="420"/>
      <c r="S524" s="420"/>
      <c r="T524" s="420"/>
      <c r="U524" s="420"/>
      <c r="V524" s="420"/>
      <c r="W524" s="420"/>
      <c r="X524" s="420"/>
      <c r="Y524" s="420"/>
      <c r="Z524" s="383"/>
    </row>
    <row r="525" spans="1:26" ht="15">
      <c r="A525" s="420"/>
      <c r="B525" s="420"/>
      <c r="C525" s="420"/>
      <c r="D525" s="420"/>
      <c r="E525" s="420"/>
      <c r="F525" s="420"/>
      <c r="G525" s="420"/>
      <c r="H525" s="420"/>
      <c r="I525" s="420"/>
      <c r="J525" s="420"/>
      <c r="K525" s="420"/>
      <c r="L525" s="420"/>
      <c r="M525" s="420"/>
      <c r="N525" s="420"/>
      <c r="O525" s="420"/>
      <c r="P525" s="420"/>
      <c r="Q525" s="420"/>
      <c r="R525" s="420"/>
      <c r="S525" s="420"/>
      <c r="T525" s="420"/>
      <c r="U525" s="420"/>
      <c r="V525" s="420"/>
      <c r="W525" s="420"/>
      <c r="X525" s="420"/>
      <c r="Y525" s="420"/>
      <c r="Z525" s="383"/>
    </row>
    <row r="526" spans="1:26" ht="15">
      <c r="A526" s="420"/>
      <c r="B526" s="420"/>
      <c r="C526" s="420"/>
      <c r="D526" s="420"/>
      <c r="E526" s="420"/>
      <c r="F526" s="420"/>
      <c r="G526" s="420"/>
      <c r="H526" s="420"/>
      <c r="I526" s="420"/>
      <c r="J526" s="420"/>
      <c r="K526" s="420"/>
      <c r="L526" s="420"/>
      <c r="M526" s="420"/>
      <c r="N526" s="420"/>
      <c r="O526" s="420"/>
      <c r="P526" s="420"/>
      <c r="Q526" s="420"/>
      <c r="R526" s="420"/>
      <c r="S526" s="420"/>
      <c r="T526" s="420"/>
      <c r="U526" s="420"/>
      <c r="V526" s="420"/>
      <c r="W526" s="420"/>
      <c r="X526" s="420"/>
      <c r="Y526" s="420"/>
      <c r="Z526" s="383"/>
    </row>
    <row r="527" spans="1:26" ht="15">
      <c r="A527" s="420"/>
      <c r="B527" s="420"/>
      <c r="C527" s="420"/>
      <c r="D527" s="420"/>
      <c r="E527" s="420"/>
      <c r="F527" s="420"/>
      <c r="G527" s="420"/>
      <c r="H527" s="420"/>
      <c r="I527" s="420"/>
      <c r="J527" s="420"/>
      <c r="K527" s="420"/>
      <c r="L527" s="420"/>
      <c r="M527" s="420"/>
      <c r="N527" s="420"/>
      <c r="O527" s="420"/>
      <c r="P527" s="420"/>
      <c r="Q527" s="420"/>
      <c r="R527" s="420"/>
      <c r="S527" s="420"/>
      <c r="T527" s="420"/>
      <c r="U527" s="420"/>
      <c r="V527" s="420"/>
      <c r="W527" s="420"/>
      <c r="X527" s="420"/>
      <c r="Y527" s="420"/>
      <c r="Z527" s="383"/>
    </row>
    <row r="528" spans="1:26" ht="15">
      <c r="A528" s="420"/>
      <c r="B528" s="420"/>
      <c r="C528" s="420"/>
      <c r="D528" s="420"/>
      <c r="E528" s="420"/>
      <c r="F528" s="420"/>
      <c r="G528" s="420"/>
      <c r="H528" s="420"/>
      <c r="I528" s="420"/>
      <c r="J528" s="420"/>
      <c r="K528" s="420"/>
      <c r="L528" s="420"/>
      <c r="M528" s="420"/>
      <c r="N528" s="420"/>
      <c r="O528" s="420"/>
      <c r="P528" s="420"/>
      <c r="Q528" s="420"/>
      <c r="R528" s="420"/>
      <c r="S528" s="420"/>
      <c r="T528" s="420"/>
      <c r="U528" s="420"/>
      <c r="V528" s="420"/>
      <c r="W528" s="420"/>
      <c r="X528" s="420"/>
      <c r="Y528" s="420"/>
      <c r="Z528" s="383"/>
    </row>
    <row r="529" spans="1:26" ht="15">
      <c r="A529" s="420"/>
      <c r="B529" s="420"/>
      <c r="C529" s="420"/>
      <c r="D529" s="420"/>
      <c r="E529" s="420"/>
      <c r="F529" s="420"/>
      <c r="G529" s="420"/>
      <c r="H529" s="420"/>
      <c r="I529" s="420"/>
      <c r="J529" s="420"/>
      <c r="K529" s="420"/>
      <c r="L529" s="420"/>
      <c r="M529" s="420"/>
      <c r="N529" s="420"/>
      <c r="O529" s="420"/>
      <c r="P529" s="420"/>
      <c r="Q529" s="420"/>
      <c r="R529" s="420"/>
      <c r="S529" s="420"/>
      <c r="T529" s="420"/>
      <c r="U529" s="420"/>
      <c r="V529" s="420"/>
      <c r="W529" s="420"/>
      <c r="X529" s="420"/>
      <c r="Y529" s="420"/>
      <c r="Z529" s="383"/>
    </row>
    <row r="530" spans="1:26" ht="15">
      <c r="A530" s="420"/>
      <c r="B530" s="420"/>
      <c r="C530" s="420"/>
      <c r="D530" s="420"/>
      <c r="E530" s="420"/>
      <c r="F530" s="420"/>
      <c r="G530" s="420"/>
      <c r="H530" s="420"/>
      <c r="I530" s="420"/>
      <c r="J530" s="420"/>
      <c r="K530" s="420"/>
      <c r="L530" s="420"/>
      <c r="M530" s="420"/>
      <c r="N530" s="420"/>
      <c r="O530" s="420"/>
      <c r="P530" s="420"/>
      <c r="Q530" s="420"/>
      <c r="R530" s="420"/>
      <c r="S530" s="420"/>
      <c r="T530" s="420"/>
      <c r="U530" s="420"/>
      <c r="V530" s="420"/>
      <c r="W530" s="420"/>
      <c r="X530" s="420"/>
      <c r="Y530" s="420"/>
      <c r="Z530" s="383"/>
    </row>
    <row r="531" spans="1:26" ht="15">
      <c r="A531" s="420"/>
      <c r="B531" s="420"/>
      <c r="C531" s="420"/>
      <c r="D531" s="420"/>
      <c r="E531" s="420"/>
      <c r="F531" s="420"/>
      <c r="G531" s="420"/>
      <c r="H531" s="420"/>
      <c r="I531" s="420"/>
      <c r="J531" s="420"/>
      <c r="K531" s="420"/>
      <c r="L531" s="420"/>
      <c r="M531" s="420"/>
      <c r="N531" s="420"/>
      <c r="O531" s="420"/>
      <c r="P531" s="420"/>
      <c r="Q531" s="420"/>
      <c r="R531" s="420"/>
      <c r="S531" s="420"/>
      <c r="T531" s="420"/>
      <c r="U531" s="420"/>
      <c r="V531" s="420"/>
      <c r="W531" s="420"/>
      <c r="X531" s="420"/>
      <c r="Y531" s="420"/>
      <c r="Z531" s="383"/>
    </row>
    <row r="532" spans="1:26" ht="15">
      <c r="A532" s="420"/>
      <c r="B532" s="420"/>
      <c r="C532" s="420"/>
      <c r="D532" s="420"/>
      <c r="E532" s="420"/>
      <c r="F532" s="420"/>
      <c r="G532" s="420"/>
      <c r="H532" s="420"/>
      <c r="I532" s="420"/>
      <c r="J532" s="420"/>
      <c r="K532" s="420"/>
      <c r="L532" s="420"/>
      <c r="M532" s="420"/>
      <c r="N532" s="420"/>
      <c r="O532" s="420"/>
      <c r="P532" s="420"/>
      <c r="Q532" s="420"/>
      <c r="R532" s="420"/>
      <c r="S532" s="420"/>
      <c r="T532" s="420"/>
      <c r="U532" s="420"/>
      <c r="V532" s="420"/>
      <c r="W532" s="420"/>
      <c r="X532" s="420"/>
      <c r="Y532" s="420"/>
      <c r="Z532" s="383"/>
    </row>
    <row r="533" spans="1:26" ht="15">
      <c r="A533" s="420"/>
      <c r="B533" s="420"/>
      <c r="C533" s="420"/>
      <c r="D533" s="420"/>
      <c r="E533" s="420"/>
      <c r="F533" s="420"/>
      <c r="G533" s="420"/>
      <c r="H533" s="420"/>
      <c r="I533" s="420"/>
      <c r="J533" s="420"/>
      <c r="K533" s="420"/>
      <c r="L533" s="420"/>
      <c r="M533" s="420"/>
      <c r="N533" s="420"/>
      <c r="O533" s="420"/>
      <c r="P533" s="420"/>
      <c r="Q533" s="420"/>
      <c r="R533" s="420"/>
      <c r="S533" s="420"/>
      <c r="T533" s="420"/>
      <c r="U533" s="420"/>
      <c r="V533" s="420"/>
      <c r="W533" s="420"/>
      <c r="X533" s="420"/>
      <c r="Y533" s="420"/>
      <c r="Z533" s="383"/>
    </row>
    <row r="534" spans="1:26" ht="15">
      <c r="A534" s="420"/>
      <c r="B534" s="420"/>
      <c r="C534" s="420"/>
      <c r="D534" s="420"/>
      <c r="E534" s="420"/>
      <c r="F534" s="420"/>
      <c r="G534" s="420"/>
      <c r="H534" s="420"/>
      <c r="I534" s="420"/>
      <c r="J534" s="420"/>
      <c r="K534" s="420"/>
      <c r="L534" s="420"/>
      <c r="M534" s="420"/>
      <c r="N534" s="420"/>
      <c r="O534" s="420"/>
      <c r="P534" s="420"/>
      <c r="Q534" s="420"/>
      <c r="R534" s="420"/>
      <c r="S534" s="420"/>
      <c r="T534" s="420"/>
      <c r="U534" s="420"/>
      <c r="V534" s="420"/>
      <c r="W534" s="420"/>
      <c r="X534" s="420"/>
      <c r="Y534" s="420"/>
      <c r="Z534" s="383"/>
    </row>
    <row r="535" spans="1:26" ht="15">
      <c r="A535" s="420"/>
      <c r="B535" s="420"/>
      <c r="C535" s="420"/>
      <c r="D535" s="420"/>
      <c r="E535" s="420"/>
      <c r="F535" s="420"/>
      <c r="G535" s="420"/>
      <c r="H535" s="420"/>
      <c r="I535" s="420"/>
      <c r="J535" s="420"/>
      <c r="K535" s="420"/>
      <c r="L535" s="420"/>
      <c r="M535" s="420"/>
      <c r="N535" s="420"/>
      <c r="O535" s="420"/>
      <c r="P535" s="420"/>
      <c r="Q535" s="420"/>
      <c r="R535" s="420"/>
      <c r="S535" s="420"/>
      <c r="T535" s="420"/>
      <c r="U535" s="420"/>
      <c r="V535" s="420"/>
      <c r="W535" s="420"/>
      <c r="X535" s="420"/>
      <c r="Y535" s="420"/>
      <c r="Z535" s="383"/>
    </row>
    <row r="536" spans="1:26" ht="15">
      <c r="A536" s="420"/>
      <c r="B536" s="420"/>
      <c r="C536" s="420"/>
      <c r="D536" s="420"/>
      <c r="E536" s="420"/>
      <c r="F536" s="420"/>
      <c r="G536" s="420"/>
      <c r="H536" s="420"/>
      <c r="I536" s="420"/>
      <c r="J536" s="420"/>
      <c r="K536" s="420"/>
      <c r="L536" s="420"/>
      <c r="M536" s="420"/>
      <c r="N536" s="420"/>
      <c r="O536" s="420"/>
      <c r="P536" s="420"/>
      <c r="Q536" s="420"/>
      <c r="R536" s="420"/>
      <c r="S536" s="420"/>
      <c r="T536" s="420"/>
      <c r="U536" s="420"/>
      <c r="V536" s="420"/>
      <c r="W536" s="420"/>
      <c r="X536" s="420"/>
      <c r="Y536" s="420"/>
      <c r="Z536" s="383"/>
    </row>
    <row r="537" spans="1:26" ht="15">
      <c r="A537" s="420"/>
      <c r="B537" s="420"/>
      <c r="C537" s="420"/>
      <c r="D537" s="420"/>
      <c r="E537" s="420"/>
      <c r="F537" s="420"/>
      <c r="G537" s="420"/>
      <c r="H537" s="420"/>
      <c r="I537" s="420"/>
      <c r="J537" s="420"/>
      <c r="K537" s="420"/>
      <c r="L537" s="420"/>
      <c r="M537" s="420"/>
      <c r="N537" s="420"/>
      <c r="O537" s="420"/>
      <c r="P537" s="420"/>
      <c r="Q537" s="420"/>
      <c r="R537" s="420"/>
      <c r="S537" s="420"/>
      <c r="T537" s="420"/>
      <c r="U537" s="420"/>
      <c r="V537" s="420"/>
      <c r="W537" s="420"/>
      <c r="X537" s="420"/>
      <c r="Y537" s="420"/>
      <c r="Z537" s="383"/>
    </row>
    <row r="538" spans="1:26" ht="15">
      <c r="A538" s="420"/>
      <c r="B538" s="420"/>
      <c r="C538" s="420"/>
      <c r="D538" s="420"/>
      <c r="E538" s="420"/>
      <c r="F538" s="420"/>
      <c r="G538" s="420"/>
      <c r="H538" s="420"/>
      <c r="I538" s="420"/>
      <c r="J538" s="420"/>
      <c r="K538" s="420"/>
      <c r="L538" s="420"/>
      <c r="M538" s="420"/>
      <c r="N538" s="420"/>
      <c r="O538" s="420"/>
      <c r="P538" s="420"/>
      <c r="Q538" s="420"/>
      <c r="R538" s="420"/>
      <c r="S538" s="420"/>
      <c r="T538" s="420"/>
      <c r="U538" s="420"/>
      <c r="V538" s="420"/>
      <c r="W538" s="420"/>
      <c r="X538" s="420"/>
      <c r="Y538" s="420"/>
      <c r="Z538" s="383"/>
    </row>
    <row r="539" spans="1:26" ht="15">
      <c r="A539" s="420"/>
      <c r="B539" s="420"/>
      <c r="C539" s="420"/>
      <c r="D539" s="420"/>
      <c r="E539" s="420"/>
      <c r="F539" s="420"/>
      <c r="G539" s="420"/>
      <c r="H539" s="420"/>
      <c r="I539" s="420"/>
      <c r="J539" s="420"/>
      <c r="K539" s="420"/>
      <c r="L539" s="420"/>
      <c r="M539" s="420"/>
      <c r="N539" s="420"/>
      <c r="O539" s="420"/>
      <c r="P539" s="420"/>
      <c r="Q539" s="420"/>
      <c r="R539" s="420"/>
      <c r="S539" s="420"/>
      <c r="T539" s="420"/>
      <c r="U539" s="420"/>
      <c r="V539" s="420"/>
      <c r="W539" s="420"/>
      <c r="X539" s="420"/>
      <c r="Y539" s="420"/>
      <c r="Z539" s="383"/>
    </row>
    <row r="540" spans="1:26" ht="15">
      <c r="A540" s="420"/>
      <c r="B540" s="420"/>
      <c r="C540" s="420"/>
      <c r="D540" s="420"/>
      <c r="E540" s="420"/>
      <c r="F540" s="420"/>
      <c r="G540" s="420"/>
      <c r="H540" s="420"/>
      <c r="I540" s="420"/>
      <c r="J540" s="420"/>
      <c r="K540" s="420"/>
      <c r="L540" s="420"/>
      <c r="M540" s="420"/>
      <c r="N540" s="420"/>
      <c r="O540" s="420"/>
      <c r="P540" s="420"/>
      <c r="Q540" s="420"/>
      <c r="R540" s="420"/>
      <c r="S540" s="420"/>
      <c r="T540" s="420"/>
      <c r="U540" s="420"/>
      <c r="V540" s="420"/>
      <c r="W540" s="420"/>
      <c r="X540" s="420"/>
      <c r="Y540" s="420"/>
      <c r="Z540" s="383"/>
    </row>
    <row r="541" spans="1:26" ht="15">
      <c r="A541" s="420"/>
      <c r="B541" s="420"/>
      <c r="C541" s="420"/>
      <c r="D541" s="420"/>
      <c r="E541" s="420"/>
      <c r="F541" s="420"/>
      <c r="G541" s="420"/>
      <c r="H541" s="420"/>
      <c r="I541" s="420"/>
      <c r="J541" s="420"/>
      <c r="K541" s="420"/>
      <c r="L541" s="420"/>
      <c r="M541" s="420"/>
      <c r="N541" s="420"/>
      <c r="O541" s="420"/>
      <c r="P541" s="420"/>
      <c r="Q541" s="420"/>
      <c r="R541" s="420"/>
      <c r="S541" s="420"/>
      <c r="T541" s="420"/>
      <c r="U541" s="420"/>
      <c r="V541" s="420"/>
      <c r="W541" s="420"/>
      <c r="X541" s="420"/>
      <c r="Y541" s="420"/>
      <c r="Z541" s="383"/>
    </row>
    <row r="542" spans="1:26" ht="15">
      <c r="A542" s="420"/>
      <c r="B542" s="420"/>
      <c r="C542" s="420"/>
      <c r="D542" s="420"/>
      <c r="E542" s="420"/>
      <c r="F542" s="420"/>
      <c r="G542" s="420"/>
      <c r="H542" s="420"/>
      <c r="I542" s="420"/>
      <c r="J542" s="420"/>
      <c r="K542" s="420"/>
      <c r="L542" s="420"/>
      <c r="M542" s="420"/>
      <c r="N542" s="420"/>
      <c r="O542" s="420"/>
      <c r="P542" s="420"/>
      <c r="Q542" s="420"/>
      <c r="R542" s="420"/>
      <c r="S542" s="420"/>
      <c r="T542" s="420"/>
      <c r="U542" s="420"/>
      <c r="V542" s="420"/>
      <c r="W542" s="420"/>
      <c r="X542" s="420"/>
      <c r="Y542" s="420"/>
      <c r="Z542" s="383"/>
    </row>
    <row r="543" spans="1:26" ht="15">
      <c r="A543" s="420"/>
      <c r="B543" s="420"/>
      <c r="C543" s="420"/>
      <c r="D543" s="420"/>
      <c r="E543" s="420"/>
      <c r="F543" s="420"/>
      <c r="G543" s="420"/>
      <c r="H543" s="420"/>
      <c r="I543" s="420"/>
      <c r="J543" s="420"/>
      <c r="K543" s="420"/>
      <c r="L543" s="420"/>
      <c r="M543" s="420"/>
      <c r="N543" s="420"/>
      <c r="O543" s="420"/>
      <c r="P543" s="420"/>
      <c r="Q543" s="420"/>
      <c r="R543" s="420"/>
      <c r="S543" s="420"/>
      <c r="T543" s="420"/>
      <c r="U543" s="420"/>
      <c r="V543" s="420"/>
      <c r="W543" s="420"/>
      <c r="X543" s="420"/>
      <c r="Y543" s="420"/>
      <c r="Z543" s="383"/>
    </row>
    <row r="544" spans="1:26" ht="15">
      <c r="A544" s="420"/>
      <c r="B544" s="420"/>
      <c r="C544" s="420"/>
      <c r="D544" s="420"/>
      <c r="E544" s="420"/>
      <c r="F544" s="420"/>
      <c r="G544" s="420"/>
      <c r="H544" s="420"/>
      <c r="I544" s="420"/>
      <c r="J544" s="420"/>
      <c r="K544" s="420"/>
      <c r="L544" s="420"/>
      <c r="M544" s="420"/>
      <c r="N544" s="420"/>
      <c r="O544" s="420"/>
      <c r="P544" s="420"/>
      <c r="Q544" s="420"/>
      <c r="R544" s="420"/>
      <c r="S544" s="420"/>
      <c r="T544" s="420"/>
      <c r="U544" s="420"/>
      <c r="V544" s="420"/>
      <c r="W544" s="420"/>
      <c r="X544" s="420"/>
      <c r="Y544" s="420"/>
      <c r="Z544" s="383"/>
    </row>
    <row r="545" spans="1:26" ht="15">
      <c r="A545" s="420"/>
      <c r="B545" s="420"/>
      <c r="C545" s="420"/>
      <c r="D545" s="420"/>
      <c r="E545" s="420"/>
      <c r="F545" s="420"/>
      <c r="G545" s="420"/>
      <c r="H545" s="420"/>
      <c r="I545" s="420"/>
      <c r="J545" s="420"/>
      <c r="K545" s="420"/>
      <c r="L545" s="420"/>
      <c r="M545" s="420"/>
      <c r="N545" s="420"/>
      <c r="O545" s="420"/>
      <c r="P545" s="420"/>
      <c r="Q545" s="420"/>
      <c r="R545" s="420"/>
      <c r="S545" s="420"/>
      <c r="T545" s="420"/>
      <c r="U545" s="420"/>
      <c r="V545" s="420"/>
      <c r="W545" s="420"/>
      <c r="X545" s="420"/>
      <c r="Y545" s="420"/>
      <c r="Z545" s="383"/>
    </row>
    <row r="546" spans="1:26" ht="15">
      <c r="A546" s="420"/>
      <c r="B546" s="420"/>
      <c r="C546" s="420"/>
      <c r="D546" s="420"/>
      <c r="E546" s="420"/>
      <c r="F546" s="420"/>
      <c r="G546" s="420"/>
      <c r="H546" s="420"/>
      <c r="I546" s="420"/>
      <c r="J546" s="420"/>
      <c r="K546" s="420"/>
      <c r="L546" s="420"/>
      <c r="M546" s="420"/>
      <c r="N546" s="420"/>
      <c r="O546" s="420"/>
      <c r="P546" s="420"/>
      <c r="Q546" s="420"/>
      <c r="R546" s="420"/>
      <c r="S546" s="420"/>
      <c r="T546" s="420"/>
      <c r="U546" s="420"/>
      <c r="V546" s="420"/>
      <c r="W546" s="420"/>
      <c r="X546" s="420"/>
      <c r="Y546" s="420"/>
      <c r="Z546" s="383"/>
    </row>
    <row r="547" spans="1:26" ht="15">
      <c r="A547" s="420"/>
      <c r="B547" s="420"/>
      <c r="C547" s="420"/>
      <c r="D547" s="420"/>
      <c r="E547" s="420"/>
      <c r="F547" s="420"/>
      <c r="G547" s="420"/>
      <c r="H547" s="420"/>
      <c r="I547" s="420"/>
      <c r="J547" s="420"/>
      <c r="K547" s="420"/>
      <c r="L547" s="420"/>
      <c r="M547" s="420"/>
      <c r="N547" s="420"/>
      <c r="O547" s="420"/>
      <c r="P547" s="420"/>
      <c r="Q547" s="420"/>
      <c r="R547" s="420"/>
      <c r="S547" s="420"/>
      <c r="T547" s="420"/>
      <c r="U547" s="420"/>
      <c r="V547" s="420"/>
      <c r="W547" s="420"/>
      <c r="X547" s="420"/>
      <c r="Y547" s="420"/>
      <c r="Z547" s="383"/>
    </row>
    <row r="548" spans="1:26" ht="15">
      <c r="A548" s="420"/>
      <c r="B548" s="420"/>
      <c r="C548" s="420"/>
      <c r="D548" s="420"/>
      <c r="E548" s="420"/>
      <c r="F548" s="420"/>
      <c r="G548" s="420"/>
      <c r="H548" s="420"/>
      <c r="I548" s="420"/>
      <c r="J548" s="420"/>
      <c r="K548" s="420"/>
      <c r="L548" s="420"/>
      <c r="M548" s="420"/>
      <c r="N548" s="420"/>
      <c r="O548" s="420"/>
      <c r="P548" s="420"/>
      <c r="Q548" s="420"/>
      <c r="R548" s="420"/>
      <c r="S548" s="420"/>
      <c r="T548" s="420"/>
      <c r="U548" s="420"/>
      <c r="V548" s="420"/>
      <c r="W548" s="420"/>
      <c r="X548" s="420"/>
      <c r="Y548" s="420"/>
      <c r="Z548" s="383"/>
    </row>
    <row r="549" spans="1:26" ht="15">
      <c r="A549" s="420"/>
      <c r="B549" s="420"/>
      <c r="C549" s="420"/>
      <c r="D549" s="420"/>
      <c r="E549" s="420"/>
      <c r="F549" s="420"/>
      <c r="G549" s="420"/>
      <c r="H549" s="420"/>
      <c r="I549" s="420"/>
      <c r="J549" s="420"/>
      <c r="K549" s="420"/>
      <c r="L549" s="420"/>
      <c r="M549" s="420"/>
      <c r="N549" s="420"/>
      <c r="O549" s="420"/>
      <c r="P549" s="420"/>
      <c r="Q549" s="420"/>
      <c r="R549" s="420"/>
      <c r="S549" s="420"/>
      <c r="T549" s="420"/>
      <c r="U549" s="420"/>
      <c r="V549" s="420"/>
      <c r="W549" s="420"/>
      <c r="X549" s="420"/>
      <c r="Y549" s="420"/>
      <c r="Z549" s="383"/>
    </row>
    <row r="550" spans="1:26" ht="15">
      <c r="A550" s="420"/>
      <c r="B550" s="420"/>
      <c r="C550" s="420"/>
      <c r="D550" s="420"/>
      <c r="E550" s="420"/>
      <c r="F550" s="420"/>
      <c r="G550" s="420"/>
      <c r="H550" s="420"/>
      <c r="I550" s="420"/>
      <c r="J550" s="420"/>
      <c r="K550" s="420"/>
      <c r="L550" s="420"/>
      <c r="M550" s="420"/>
      <c r="N550" s="420"/>
      <c r="O550" s="420"/>
      <c r="P550" s="420"/>
      <c r="Q550" s="420"/>
      <c r="R550" s="420"/>
      <c r="S550" s="420"/>
      <c r="T550" s="420"/>
      <c r="U550" s="420"/>
      <c r="V550" s="420"/>
      <c r="W550" s="420"/>
      <c r="X550" s="420"/>
      <c r="Y550" s="420"/>
      <c r="Z550" s="383"/>
    </row>
    <row r="551" spans="1:26" ht="15">
      <c r="A551" s="420"/>
      <c r="B551" s="420"/>
      <c r="C551" s="420"/>
      <c r="D551" s="420"/>
      <c r="E551" s="420"/>
      <c r="F551" s="420"/>
      <c r="G551" s="420"/>
      <c r="H551" s="420"/>
      <c r="I551" s="420"/>
      <c r="J551" s="420"/>
      <c r="K551" s="420"/>
      <c r="L551" s="420"/>
      <c r="M551" s="420"/>
      <c r="N551" s="420"/>
      <c r="O551" s="420"/>
      <c r="P551" s="420"/>
      <c r="Q551" s="420"/>
      <c r="R551" s="420"/>
      <c r="S551" s="420"/>
      <c r="T551" s="420"/>
      <c r="U551" s="420"/>
      <c r="V551" s="420"/>
      <c r="W551" s="420"/>
      <c r="X551" s="420"/>
      <c r="Y551" s="420"/>
      <c r="Z551" s="383"/>
    </row>
    <row r="552" spans="1:26" ht="15">
      <c r="A552" s="420"/>
      <c r="B552" s="420"/>
      <c r="C552" s="420"/>
      <c r="D552" s="420"/>
      <c r="E552" s="420"/>
      <c r="F552" s="420"/>
      <c r="G552" s="420"/>
      <c r="H552" s="420"/>
      <c r="I552" s="420"/>
      <c r="J552" s="420"/>
      <c r="K552" s="420"/>
      <c r="L552" s="420"/>
      <c r="M552" s="420"/>
      <c r="N552" s="420"/>
      <c r="O552" s="420"/>
      <c r="P552" s="420"/>
      <c r="Q552" s="420"/>
      <c r="R552" s="420"/>
      <c r="S552" s="420"/>
      <c r="T552" s="420"/>
      <c r="U552" s="420"/>
      <c r="V552" s="420"/>
      <c r="W552" s="420"/>
      <c r="X552" s="420"/>
      <c r="Y552" s="420"/>
      <c r="Z552" s="383"/>
    </row>
    <row r="553" spans="1:26" ht="15">
      <c r="A553" s="420"/>
      <c r="B553" s="420"/>
      <c r="C553" s="420"/>
      <c r="D553" s="420"/>
      <c r="E553" s="420"/>
      <c r="F553" s="420"/>
      <c r="G553" s="420"/>
      <c r="H553" s="420"/>
      <c r="I553" s="420"/>
      <c r="J553" s="420"/>
      <c r="K553" s="420"/>
      <c r="L553" s="420"/>
      <c r="M553" s="420"/>
      <c r="N553" s="420"/>
      <c r="O553" s="420"/>
      <c r="P553" s="420"/>
      <c r="Q553" s="420"/>
      <c r="R553" s="420"/>
      <c r="S553" s="420"/>
      <c r="T553" s="420"/>
      <c r="U553" s="420"/>
      <c r="V553" s="420"/>
      <c r="W553" s="420"/>
      <c r="X553" s="420"/>
      <c r="Y553" s="420"/>
      <c r="Z553" s="383"/>
    </row>
    <row r="554" spans="1:26" ht="15">
      <c r="A554" s="420"/>
      <c r="B554" s="420"/>
      <c r="C554" s="420"/>
      <c r="D554" s="420"/>
      <c r="E554" s="420"/>
      <c r="F554" s="420"/>
      <c r="G554" s="420"/>
      <c r="H554" s="420"/>
      <c r="I554" s="420"/>
      <c r="J554" s="420"/>
      <c r="K554" s="420"/>
      <c r="L554" s="420"/>
      <c r="M554" s="420"/>
      <c r="N554" s="420"/>
      <c r="O554" s="420"/>
      <c r="P554" s="420"/>
      <c r="Q554" s="420"/>
      <c r="R554" s="420"/>
      <c r="S554" s="420"/>
      <c r="T554" s="420"/>
      <c r="U554" s="420"/>
      <c r="V554" s="420"/>
      <c r="W554" s="420"/>
      <c r="X554" s="420"/>
      <c r="Y554" s="420"/>
      <c r="Z554" s="383"/>
    </row>
    <row r="555" spans="1:26" ht="15">
      <c r="A555" s="420"/>
      <c r="B555" s="420"/>
      <c r="C555" s="420"/>
      <c r="D555" s="420"/>
      <c r="E555" s="420"/>
      <c r="F555" s="420"/>
      <c r="G555" s="420"/>
      <c r="H555" s="420"/>
      <c r="I555" s="420"/>
      <c r="J555" s="420"/>
      <c r="K555" s="420"/>
      <c r="L555" s="420"/>
      <c r="M555" s="420"/>
      <c r="N555" s="420"/>
      <c r="O555" s="420"/>
      <c r="P555" s="420"/>
      <c r="Q555" s="420"/>
      <c r="R555" s="420"/>
      <c r="S555" s="420"/>
      <c r="T555" s="420"/>
      <c r="U555" s="420"/>
      <c r="V555" s="420"/>
      <c r="W555" s="420"/>
      <c r="X555" s="420"/>
      <c r="Y555" s="420"/>
      <c r="Z555" s="383"/>
    </row>
    <row r="556" spans="1:26" ht="15">
      <c r="A556" s="420"/>
      <c r="B556" s="420"/>
      <c r="C556" s="420"/>
      <c r="D556" s="420"/>
      <c r="E556" s="420"/>
      <c r="F556" s="420"/>
      <c r="G556" s="420"/>
      <c r="H556" s="420"/>
      <c r="I556" s="420"/>
      <c r="J556" s="420"/>
      <c r="K556" s="420"/>
      <c r="L556" s="420"/>
      <c r="M556" s="420"/>
      <c r="N556" s="420"/>
      <c r="O556" s="420"/>
      <c r="P556" s="420"/>
      <c r="Q556" s="420"/>
      <c r="R556" s="420"/>
      <c r="S556" s="420"/>
      <c r="T556" s="420"/>
      <c r="U556" s="420"/>
      <c r="V556" s="420"/>
      <c r="W556" s="420"/>
      <c r="X556" s="420"/>
      <c r="Y556" s="420"/>
      <c r="Z556" s="383"/>
    </row>
    <row r="557" spans="1:26" ht="15">
      <c r="A557" s="420"/>
      <c r="B557" s="420"/>
      <c r="C557" s="420"/>
      <c r="D557" s="420"/>
      <c r="E557" s="420"/>
      <c r="F557" s="420"/>
      <c r="G557" s="420"/>
      <c r="H557" s="420"/>
      <c r="I557" s="420"/>
      <c r="J557" s="420"/>
      <c r="K557" s="420"/>
      <c r="L557" s="420"/>
      <c r="M557" s="420"/>
      <c r="N557" s="420"/>
      <c r="O557" s="420"/>
      <c r="P557" s="420"/>
      <c r="Q557" s="420"/>
      <c r="R557" s="420"/>
      <c r="S557" s="420"/>
      <c r="T557" s="420"/>
      <c r="U557" s="420"/>
      <c r="V557" s="420"/>
      <c r="W557" s="420"/>
      <c r="X557" s="420"/>
      <c r="Y557" s="420"/>
      <c r="Z557" s="383"/>
    </row>
    <row r="558" spans="1:26" ht="15">
      <c r="A558" s="420"/>
      <c r="B558" s="420"/>
      <c r="C558" s="420"/>
      <c r="D558" s="420"/>
      <c r="E558" s="420"/>
      <c r="F558" s="420"/>
      <c r="G558" s="420"/>
      <c r="H558" s="420"/>
      <c r="I558" s="420"/>
      <c r="J558" s="420"/>
      <c r="K558" s="420"/>
      <c r="L558" s="420"/>
      <c r="M558" s="420"/>
      <c r="N558" s="420"/>
      <c r="O558" s="420"/>
      <c r="P558" s="420"/>
      <c r="Q558" s="420"/>
      <c r="R558" s="420"/>
      <c r="S558" s="420"/>
      <c r="T558" s="420"/>
      <c r="U558" s="420"/>
      <c r="V558" s="420"/>
      <c r="W558" s="420"/>
      <c r="X558" s="420"/>
      <c r="Y558" s="420"/>
      <c r="Z558" s="383"/>
    </row>
    <row r="559" spans="1:26" ht="15">
      <c r="A559" s="420"/>
      <c r="B559" s="420"/>
      <c r="C559" s="420"/>
      <c r="D559" s="420"/>
      <c r="E559" s="420"/>
      <c r="F559" s="420"/>
      <c r="G559" s="420"/>
      <c r="H559" s="420"/>
      <c r="I559" s="420"/>
      <c r="J559" s="420"/>
      <c r="K559" s="420"/>
      <c r="L559" s="420"/>
      <c r="M559" s="420"/>
      <c r="N559" s="420"/>
      <c r="O559" s="420"/>
      <c r="P559" s="420"/>
      <c r="Q559" s="420"/>
      <c r="R559" s="420"/>
      <c r="S559" s="420"/>
      <c r="T559" s="420"/>
      <c r="U559" s="420"/>
      <c r="V559" s="420"/>
      <c r="W559" s="420"/>
      <c r="X559" s="420"/>
      <c r="Y559" s="420"/>
      <c r="Z559" s="383"/>
    </row>
    <row r="560" spans="1:26" ht="15">
      <c r="A560" s="420"/>
      <c r="B560" s="420"/>
      <c r="C560" s="420"/>
      <c r="D560" s="420"/>
      <c r="E560" s="420"/>
      <c r="F560" s="420"/>
      <c r="G560" s="420"/>
      <c r="H560" s="420"/>
      <c r="I560" s="420"/>
      <c r="J560" s="420"/>
      <c r="K560" s="420"/>
      <c r="L560" s="420"/>
      <c r="M560" s="420"/>
      <c r="N560" s="420"/>
      <c r="O560" s="420"/>
      <c r="P560" s="420"/>
      <c r="Q560" s="420"/>
      <c r="R560" s="420"/>
      <c r="S560" s="420"/>
      <c r="T560" s="420"/>
      <c r="U560" s="420"/>
      <c r="V560" s="420"/>
      <c r="W560" s="420"/>
      <c r="X560" s="420"/>
      <c r="Y560" s="420"/>
      <c r="Z560" s="383"/>
    </row>
    <row r="561" spans="1:26" ht="15">
      <c r="A561" s="420"/>
      <c r="B561" s="420"/>
      <c r="C561" s="420"/>
      <c r="D561" s="420"/>
      <c r="E561" s="420"/>
      <c r="F561" s="420"/>
      <c r="G561" s="420"/>
      <c r="H561" s="420"/>
      <c r="I561" s="420"/>
      <c r="J561" s="420"/>
      <c r="K561" s="420"/>
      <c r="L561" s="420"/>
      <c r="M561" s="420"/>
      <c r="N561" s="420"/>
      <c r="O561" s="420"/>
      <c r="P561" s="420"/>
      <c r="Q561" s="420"/>
      <c r="R561" s="420"/>
      <c r="S561" s="420"/>
      <c r="T561" s="420"/>
      <c r="U561" s="420"/>
      <c r="V561" s="420"/>
      <c r="W561" s="420"/>
      <c r="X561" s="420"/>
      <c r="Y561" s="420"/>
      <c r="Z561" s="383"/>
    </row>
    <row r="562" spans="1:26" ht="15">
      <c r="A562" s="420"/>
      <c r="B562" s="420"/>
      <c r="C562" s="420"/>
      <c r="D562" s="420"/>
      <c r="E562" s="420"/>
      <c r="F562" s="420"/>
      <c r="G562" s="420"/>
      <c r="H562" s="420"/>
      <c r="I562" s="420"/>
      <c r="J562" s="420"/>
      <c r="K562" s="420"/>
      <c r="L562" s="420"/>
      <c r="M562" s="420"/>
      <c r="N562" s="420"/>
      <c r="O562" s="420"/>
      <c r="P562" s="420"/>
      <c r="Q562" s="420"/>
      <c r="R562" s="420"/>
      <c r="S562" s="420"/>
      <c r="T562" s="420"/>
      <c r="U562" s="420"/>
      <c r="V562" s="420"/>
      <c r="W562" s="420"/>
      <c r="X562" s="420"/>
      <c r="Y562" s="420"/>
      <c r="Z562" s="383"/>
    </row>
    <row r="563" spans="1:26" ht="15">
      <c r="A563" s="420"/>
      <c r="B563" s="420"/>
      <c r="C563" s="420"/>
      <c r="D563" s="420"/>
      <c r="E563" s="420"/>
      <c r="F563" s="420"/>
      <c r="G563" s="420"/>
      <c r="H563" s="420"/>
      <c r="I563" s="420"/>
      <c r="J563" s="420"/>
      <c r="K563" s="420"/>
      <c r="L563" s="420"/>
      <c r="M563" s="420"/>
      <c r="N563" s="420"/>
      <c r="O563" s="420"/>
      <c r="P563" s="420"/>
      <c r="Q563" s="420"/>
      <c r="R563" s="420"/>
      <c r="S563" s="420"/>
      <c r="T563" s="420"/>
      <c r="U563" s="420"/>
      <c r="V563" s="420"/>
      <c r="W563" s="420"/>
      <c r="X563" s="420"/>
      <c r="Y563" s="420"/>
      <c r="Z563" s="383"/>
    </row>
    <row r="564" spans="1:26" ht="15">
      <c r="A564" s="420"/>
      <c r="B564" s="420"/>
      <c r="C564" s="420"/>
      <c r="D564" s="420"/>
      <c r="E564" s="420"/>
      <c r="F564" s="420"/>
      <c r="G564" s="420"/>
      <c r="H564" s="420"/>
      <c r="I564" s="420"/>
      <c r="J564" s="420"/>
      <c r="K564" s="420"/>
      <c r="L564" s="420"/>
      <c r="M564" s="420"/>
      <c r="N564" s="420"/>
      <c r="O564" s="420"/>
      <c r="P564" s="420"/>
      <c r="Q564" s="420"/>
      <c r="R564" s="420"/>
      <c r="S564" s="420"/>
      <c r="T564" s="420"/>
      <c r="U564" s="420"/>
      <c r="V564" s="420"/>
      <c r="W564" s="420"/>
      <c r="X564" s="420"/>
      <c r="Y564" s="420"/>
      <c r="Z564" s="383"/>
    </row>
    <row r="565" spans="1:26" ht="15">
      <c r="A565" s="420"/>
      <c r="B565" s="420"/>
      <c r="C565" s="420"/>
      <c r="D565" s="420"/>
      <c r="E565" s="420"/>
      <c r="F565" s="420"/>
      <c r="G565" s="420"/>
      <c r="H565" s="420"/>
      <c r="I565" s="420"/>
      <c r="J565" s="420"/>
      <c r="K565" s="420"/>
      <c r="L565" s="420"/>
      <c r="M565" s="420"/>
      <c r="N565" s="420"/>
      <c r="O565" s="420"/>
      <c r="P565" s="420"/>
      <c r="Q565" s="420"/>
      <c r="R565" s="420"/>
      <c r="S565" s="420"/>
      <c r="T565" s="420"/>
      <c r="U565" s="420"/>
      <c r="V565" s="420"/>
      <c r="W565" s="420"/>
      <c r="X565" s="420"/>
      <c r="Y565" s="420"/>
      <c r="Z565" s="383"/>
    </row>
    <row r="566" spans="1:26" ht="15">
      <c r="A566" s="420"/>
      <c r="B566" s="420"/>
      <c r="C566" s="420"/>
      <c r="D566" s="420"/>
      <c r="E566" s="420"/>
      <c r="F566" s="420"/>
      <c r="G566" s="420"/>
      <c r="H566" s="420"/>
      <c r="I566" s="420"/>
      <c r="J566" s="420"/>
      <c r="K566" s="420"/>
      <c r="L566" s="420"/>
      <c r="M566" s="420"/>
      <c r="N566" s="420"/>
      <c r="O566" s="420"/>
      <c r="P566" s="420"/>
      <c r="Q566" s="420"/>
      <c r="R566" s="420"/>
      <c r="S566" s="420"/>
      <c r="T566" s="420"/>
      <c r="U566" s="420"/>
      <c r="V566" s="420"/>
      <c r="W566" s="420"/>
      <c r="X566" s="420"/>
      <c r="Y566" s="420"/>
      <c r="Z566" s="383"/>
    </row>
    <row r="567" spans="1:26" ht="15">
      <c r="A567" s="420"/>
      <c r="B567" s="420"/>
      <c r="C567" s="420"/>
      <c r="D567" s="420"/>
      <c r="E567" s="420"/>
      <c r="F567" s="420"/>
      <c r="G567" s="420"/>
      <c r="H567" s="420"/>
      <c r="I567" s="420"/>
      <c r="J567" s="420"/>
      <c r="K567" s="420"/>
      <c r="L567" s="420"/>
      <c r="M567" s="420"/>
      <c r="N567" s="420"/>
      <c r="O567" s="420"/>
      <c r="P567" s="420"/>
      <c r="Q567" s="420"/>
      <c r="R567" s="420"/>
      <c r="S567" s="420"/>
      <c r="T567" s="420"/>
      <c r="U567" s="420"/>
      <c r="V567" s="420"/>
      <c r="W567" s="420"/>
      <c r="X567" s="420"/>
      <c r="Y567" s="420"/>
      <c r="Z567" s="383"/>
    </row>
    <row r="568" spans="1:26" ht="15">
      <c r="A568" s="420"/>
      <c r="B568" s="420"/>
      <c r="C568" s="420"/>
      <c r="D568" s="420"/>
      <c r="E568" s="420"/>
      <c r="F568" s="420"/>
      <c r="G568" s="420"/>
      <c r="H568" s="420"/>
      <c r="I568" s="420"/>
      <c r="J568" s="420"/>
      <c r="K568" s="420"/>
      <c r="L568" s="420"/>
      <c r="M568" s="420"/>
      <c r="N568" s="420"/>
      <c r="O568" s="420"/>
      <c r="P568" s="420"/>
      <c r="Q568" s="420"/>
      <c r="R568" s="420"/>
      <c r="S568" s="420"/>
      <c r="T568" s="420"/>
      <c r="U568" s="420"/>
      <c r="V568" s="420"/>
      <c r="W568" s="420"/>
      <c r="X568" s="420"/>
      <c r="Y568" s="420"/>
      <c r="Z568" s="383"/>
    </row>
    <row r="569" spans="1:26" ht="15">
      <c r="A569" s="420"/>
      <c r="B569" s="420"/>
      <c r="C569" s="420"/>
      <c r="D569" s="420"/>
      <c r="E569" s="420"/>
      <c r="F569" s="420"/>
      <c r="G569" s="420"/>
      <c r="H569" s="420"/>
      <c r="I569" s="420"/>
      <c r="J569" s="420"/>
      <c r="K569" s="420"/>
      <c r="L569" s="420"/>
      <c r="M569" s="420"/>
      <c r="N569" s="420"/>
      <c r="O569" s="420"/>
      <c r="P569" s="420"/>
      <c r="Q569" s="420"/>
      <c r="R569" s="420"/>
      <c r="S569" s="420"/>
      <c r="T569" s="420"/>
      <c r="U569" s="420"/>
      <c r="V569" s="420"/>
      <c r="W569" s="420"/>
      <c r="X569" s="420"/>
      <c r="Y569" s="420"/>
      <c r="Z569" s="383"/>
    </row>
    <row r="570" spans="1:26" ht="15">
      <c r="A570" s="420"/>
      <c r="B570" s="420"/>
      <c r="C570" s="420"/>
      <c r="D570" s="420"/>
      <c r="E570" s="420"/>
      <c r="F570" s="420"/>
      <c r="G570" s="420"/>
      <c r="H570" s="420"/>
      <c r="I570" s="420"/>
      <c r="J570" s="420"/>
      <c r="K570" s="420"/>
      <c r="L570" s="420"/>
      <c r="M570" s="420"/>
      <c r="N570" s="420"/>
      <c r="O570" s="420"/>
      <c r="P570" s="420"/>
      <c r="Q570" s="420"/>
      <c r="R570" s="420"/>
      <c r="S570" s="420"/>
      <c r="T570" s="420"/>
      <c r="U570" s="420"/>
      <c r="V570" s="420"/>
      <c r="W570" s="420"/>
      <c r="X570" s="420"/>
      <c r="Y570" s="420"/>
      <c r="Z570" s="383"/>
    </row>
    <row r="571" spans="1:26" ht="15">
      <c r="A571" s="420"/>
      <c r="B571" s="420"/>
      <c r="C571" s="420"/>
      <c r="D571" s="420"/>
      <c r="E571" s="420"/>
      <c r="F571" s="420"/>
      <c r="G571" s="420"/>
      <c r="H571" s="420"/>
      <c r="I571" s="420"/>
      <c r="J571" s="420"/>
      <c r="K571" s="420"/>
      <c r="L571" s="420"/>
      <c r="M571" s="420"/>
      <c r="N571" s="420"/>
      <c r="O571" s="420"/>
      <c r="P571" s="420"/>
      <c r="Q571" s="420"/>
      <c r="R571" s="420"/>
      <c r="S571" s="420"/>
      <c r="T571" s="420"/>
      <c r="U571" s="420"/>
      <c r="V571" s="420"/>
      <c r="W571" s="420"/>
      <c r="X571" s="420"/>
      <c r="Y571" s="420"/>
      <c r="Z571" s="383"/>
    </row>
    <row r="572" spans="1:26" ht="15">
      <c r="A572" s="420"/>
      <c r="B572" s="420"/>
      <c r="C572" s="420"/>
      <c r="D572" s="420"/>
      <c r="E572" s="420"/>
      <c r="F572" s="420"/>
      <c r="G572" s="420"/>
      <c r="H572" s="420"/>
      <c r="I572" s="420"/>
      <c r="J572" s="420"/>
      <c r="K572" s="420"/>
      <c r="L572" s="420"/>
      <c r="M572" s="420"/>
      <c r="N572" s="420"/>
      <c r="O572" s="420"/>
      <c r="P572" s="420"/>
      <c r="Q572" s="420"/>
      <c r="R572" s="420"/>
      <c r="S572" s="420"/>
      <c r="T572" s="420"/>
      <c r="U572" s="420"/>
      <c r="V572" s="420"/>
      <c r="W572" s="420"/>
      <c r="X572" s="420"/>
      <c r="Y572" s="420"/>
      <c r="Z572" s="383"/>
    </row>
    <row r="573" spans="1:26" ht="15">
      <c r="A573" s="420"/>
      <c r="B573" s="420"/>
      <c r="C573" s="420"/>
      <c r="D573" s="420"/>
      <c r="E573" s="420"/>
      <c r="F573" s="420"/>
      <c r="G573" s="420"/>
      <c r="H573" s="420"/>
      <c r="I573" s="420"/>
      <c r="J573" s="420"/>
      <c r="K573" s="420"/>
      <c r="L573" s="420"/>
      <c r="M573" s="420"/>
      <c r="N573" s="420"/>
      <c r="O573" s="420"/>
      <c r="P573" s="420"/>
      <c r="Q573" s="420"/>
      <c r="R573" s="420"/>
      <c r="S573" s="420"/>
      <c r="T573" s="420"/>
      <c r="U573" s="420"/>
      <c r="V573" s="420"/>
      <c r="W573" s="420"/>
      <c r="X573" s="420"/>
      <c r="Y573" s="420"/>
      <c r="Z573" s="383"/>
    </row>
    <row r="574" spans="1:26" ht="15">
      <c r="A574" s="420"/>
      <c r="B574" s="420"/>
      <c r="C574" s="420"/>
      <c r="D574" s="420"/>
      <c r="E574" s="420"/>
      <c r="F574" s="420"/>
      <c r="G574" s="420"/>
      <c r="H574" s="420"/>
      <c r="I574" s="420"/>
      <c r="J574" s="420"/>
      <c r="K574" s="420"/>
      <c r="L574" s="420"/>
      <c r="M574" s="420"/>
      <c r="N574" s="420"/>
      <c r="O574" s="420"/>
      <c r="P574" s="420"/>
      <c r="Q574" s="420"/>
      <c r="R574" s="420"/>
      <c r="S574" s="420"/>
      <c r="T574" s="420"/>
      <c r="U574" s="420"/>
      <c r="V574" s="420"/>
      <c r="W574" s="420"/>
      <c r="X574" s="420"/>
      <c r="Y574" s="420"/>
      <c r="Z574" s="383"/>
    </row>
    <row r="575" spans="1:26" ht="15">
      <c r="A575" s="420"/>
      <c r="B575" s="420"/>
      <c r="C575" s="420"/>
      <c r="D575" s="420"/>
      <c r="E575" s="420"/>
      <c r="F575" s="420"/>
      <c r="G575" s="420"/>
      <c r="H575" s="420"/>
      <c r="I575" s="420"/>
      <c r="J575" s="420"/>
      <c r="K575" s="420"/>
      <c r="L575" s="420"/>
      <c r="M575" s="420"/>
      <c r="N575" s="420"/>
      <c r="O575" s="420"/>
      <c r="P575" s="420"/>
      <c r="Q575" s="420"/>
      <c r="R575" s="420"/>
      <c r="S575" s="420"/>
      <c r="T575" s="420"/>
      <c r="U575" s="420"/>
      <c r="V575" s="420"/>
      <c r="W575" s="420"/>
      <c r="X575" s="420"/>
      <c r="Y575" s="420"/>
      <c r="Z575" s="383"/>
    </row>
    <row r="576" spans="1:26" ht="15">
      <c r="A576" s="420"/>
      <c r="B576" s="420"/>
      <c r="C576" s="420"/>
      <c r="D576" s="420"/>
      <c r="E576" s="420"/>
      <c r="F576" s="420"/>
      <c r="G576" s="420"/>
      <c r="H576" s="420"/>
      <c r="I576" s="420"/>
      <c r="J576" s="420"/>
      <c r="K576" s="420"/>
      <c r="L576" s="420"/>
      <c r="M576" s="420"/>
      <c r="N576" s="420"/>
      <c r="O576" s="420"/>
      <c r="P576" s="420"/>
      <c r="Q576" s="420"/>
      <c r="R576" s="420"/>
      <c r="S576" s="420"/>
      <c r="T576" s="420"/>
      <c r="U576" s="420"/>
      <c r="V576" s="420"/>
      <c r="W576" s="420"/>
      <c r="X576" s="420"/>
      <c r="Y576" s="420"/>
      <c r="Z576" s="383"/>
    </row>
    <row r="577" spans="1:26" ht="15">
      <c r="A577" s="420"/>
      <c r="B577" s="420"/>
      <c r="C577" s="420"/>
      <c r="D577" s="420"/>
      <c r="E577" s="420"/>
      <c r="F577" s="420"/>
      <c r="G577" s="420"/>
      <c r="H577" s="420"/>
      <c r="I577" s="420"/>
      <c r="J577" s="420"/>
      <c r="K577" s="420"/>
      <c r="L577" s="420"/>
      <c r="M577" s="420"/>
      <c r="N577" s="420"/>
      <c r="O577" s="420"/>
      <c r="P577" s="420"/>
      <c r="Q577" s="420"/>
      <c r="R577" s="420"/>
      <c r="S577" s="420"/>
      <c r="T577" s="420"/>
      <c r="U577" s="420"/>
      <c r="V577" s="420"/>
      <c r="W577" s="420"/>
      <c r="X577" s="420"/>
      <c r="Y577" s="420"/>
      <c r="Z577" s="383"/>
    </row>
    <row r="578" spans="1:26" ht="15">
      <c r="A578" s="420"/>
      <c r="B578" s="420"/>
      <c r="C578" s="420"/>
      <c r="D578" s="420"/>
      <c r="E578" s="420"/>
      <c r="F578" s="420"/>
      <c r="G578" s="420"/>
      <c r="H578" s="420"/>
      <c r="I578" s="420"/>
      <c r="J578" s="420"/>
      <c r="K578" s="420"/>
      <c r="L578" s="420"/>
      <c r="M578" s="420"/>
      <c r="N578" s="420"/>
      <c r="O578" s="420"/>
      <c r="P578" s="420"/>
      <c r="Q578" s="420"/>
      <c r="R578" s="420"/>
      <c r="S578" s="420"/>
      <c r="T578" s="420"/>
      <c r="U578" s="420"/>
      <c r="V578" s="420"/>
      <c r="W578" s="420"/>
      <c r="X578" s="420"/>
      <c r="Y578" s="420"/>
      <c r="Z578" s="383"/>
    </row>
    <row r="579" spans="1:26" ht="15">
      <c r="A579" s="420"/>
      <c r="B579" s="420"/>
      <c r="C579" s="420"/>
      <c r="D579" s="420"/>
      <c r="E579" s="420"/>
      <c r="F579" s="420"/>
      <c r="G579" s="420"/>
      <c r="H579" s="420"/>
      <c r="I579" s="420"/>
      <c r="J579" s="420"/>
      <c r="K579" s="420"/>
      <c r="L579" s="420"/>
      <c r="M579" s="420"/>
      <c r="N579" s="420"/>
      <c r="O579" s="420"/>
      <c r="P579" s="420"/>
      <c r="Q579" s="420"/>
      <c r="R579" s="420"/>
      <c r="S579" s="420"/>
      <c r="T579" s="420"/>
      <c r="U579" s="420"/>
      <c r="V579" s="420"/>
      <c r="W579" s="420"/>
      <c r="X579" s="420"/>
      <c r="Y579" s="420"/>
      <c r="Z579" s="383"/>
    </row>
    <row r="580" spans="1:26" ht="15">
      <c r="A580" s="420"/>
      <c r="B580" s="420"/>
      <c r="C580" s="420"/>
      <c r="D580" s="420"/>
      <c r="E580" s="420"/>
      <c r="F580" s="420"/>
      <c r="G580" s="420"/>
      <c r="H580" s="420"/>
      <c r="I580" s="420"/>
      <c r="J580" s="420"/>
      <c r="K580" s="420"/>
      <c r="L580" s="420"/>
      <c r="M580" s="420"/>
      <c r="N580" s="420"/>
      <c r="O580" s="420"/>
      <c r="P580" s="420"/>
      <c r="Q580" s="420"/>
      <c r="R580" s="420"/>
      <c r="S580" s="420"/>
      <c r="T580" s="420"/>
      <c r="U580" s="420"/>
      <c r="V580" s="420"/>
      <c r="W580" s="420"/>
      <c r="X580" s="420"/>
      <c r="Y580" s="420"/>
      <c r="Z580" s="383"/>
    </row>
    <row r="581" spans="1:26" ht="15">
      <c r="A581" s="420"/>
      <c r="B581" s="420"/>
      <c r="C581" s="420"/>
      <c r="D581" s="420"/>
      <c r="E581" s="420"/>
      <c r="F581" s="420"/>
      <c r="G581" s="420"/>
      <c r="H581" s="420"/>
      <c r="I581" s="420"/>
      <c r="J581" s="420"/>
      <c r="K581" s="420"/>
      <c r="L581" s="420"/>
      <c r="M581" s="420"/>
      <c r="N581" s="420"/>
      <c r="O581" s="420"/>
      <c r="P581" s="420"/>
      <c r="Q581" s="420"/>
      <c r="R581" s="420"/>
      <c r="S581" s="420"/>
      <c r="T581" s="420"/>
      <c r="U581" s="420"/>
      <c r="V581" s="420"/>
      <c r="W581" s="420"/>
      <c r="X581" s="420"/>
      <c r="Y581" s="420"/>
      <c r="Z581" s="383"/>
    </row>
    <row r="582" spans="1:26" ht="15">
      <c r="A582" s="420"/>
      <c r="B582" s="420"/>
      <c r="C582" s="420"/>
      <c r="D582" s="420"/>
      <c r="E582" s="420"/>
      <c r="F582" s="420"/>
      <c r="G582" s="420"/>
      <c r="H582" s="420"/>
      <c r="I582" s="420"/>
      <c r="J582" s="420"/>
      <c r="K582" s="420"/>
      <c r="L582" s="420"/>
      <c r="M582" s="420"/>
      <c r="N582" s="420"/>
      <c r="O582" s="420"/>
      <c r="P582" s="420"/>
      <c r="Q582" s="420"/>
      <c r="R582" s="420"/>
      <c r="S582" s="420"/>
      <c r="T582" s="420"/>
      <c r="U582" s="420"/>
      <c r="V582" s="420"/>
      <c r="W582" s="420"/>
      <c r="X582" s="420"/>
      <c r="Y582" s="420"/>
      <c r="Z582" s="383"/>
    </row>
    <row r="583" spans="1:26" ht="15">
      <c r="A583" s="420"/>
      <c r="B583" s="420"/>
      <c r="C583" s="420"/>
      <c r="D583" s="420"/>
      <c r="E583" s="420"/>
      <c r="F583" s="420"/>
      <c r="G583" s="420"/>
      <c r="H583" s="420"/>
      <c r="I583" s="420"/>
      <c r="J583" s="420"/>
      <c r="K583" s="420"/>
      <c r="L583" s="420"/>
      <c r="M583" s="420"/>
      <c r="N583" s="420"/>
      <c r="O583" s="420"/>
      <c r="P583" s="420"/>
      <c r="Q583" s="420"/>
      <c r="R583" s="420"/>
      <c r="S583" s="420"/>
      <c r="T583" s="420"/>
      <c r="U583" s="420"/>
      <c r="V583" s="420"/>
      <c r="W583" s="420"/>
      <c r="X583" s="420"/>
      <c r="Y583" s="420"/>
      <c r="Z583" s="383"/>
    </row>
    <row r="584" spans="1:26" ht="15">
      <c r="A584" s="420"/>
      <c r="B584" s="420"/>
      <c r="C584" s="420"/>
      <c r="D584" s="420"/>
      <c r="E584" s="420"/>
      <c r="F584" s="420"/>
      <c r="G584" s="420"/>
      <c r="H584" s="420"/>
      <c r="I584" s="420"/>
      <c r="J584" s="420"/>
      <c r="K584" s="420"/>
      <c r="L584" s="420"/>
      <c r="M584" s="420"/>
      <c r="N584" s="420"/>
      <c r="O584" s="420"/>
      <c r="P584" s="420"/>
      <c r="Q584" s="420"/>
      <c r="R584" s="420"/>
      <c r="S584" s="420"/>
      <c r="T584" s="420"/>
      <c r="U584" s="420"/>
      <c r="V584" s="420"/>
      <c r="W584" s="420"/>
      <c r="X584" s="420"/>
      <c r="Y584" s="420"/>
      <c r="Z584" s="383"/>
    </row>
    <row r="585" spans="1:26" ht="15">
      <c r="A585" s="420"/>
      <c r="B585" s="420"/>
      <c r="C585" s="420"/>
      <c r="D585" s="420"/>
      <c r="E585" s="420"/>
      <c r="F585" s="420"/>
      <c r="G585" s="420"/>
      <c r="H585" s="420"/>
      <c r="I585" s="420"/>
      <c r="J585" s="420"/>
      <c r="K585" s="420"/>
      <c r="L585" s="420"/>
      <c r="M585" s="420"/>
      <c r="N585" s="420"/>
      <c r="O585" s="420"/>
      <c r="P585" s="420"/>
      <c r="Q585" s="420"/>
      <c r="R585" s="420"/>
      <c r="S585" s="420"/>
      <c r="T585" s="420"/>
      <c r="U585" s="420"/>
      <c r="V585" s="420"/>
      <c r="W585" s="420"/>
      <c r="X585" s="420"/>
      <c r="Y585" s="420"/>
      <c r="Z585" s="383"/>
    </row>
    <row r="586" spans="1:26" ht="15">
      <c r="A586" s="420"/>
      <c r="B586" s="420"/>
      <c r="C586" s="420"/>
      <c r="D586" s="420"/>
      <c r="E586" s="420"/>
      <c r="F586" s="420"/>
      <c r="G586" s="420"/>
      <c r="H586" s="420"/>
      <c r="I586" s="420"/>
      <c r="J586" s="420"/>
      <c r="K586" s="420"/>
      <c r="L586" s="420"/>
      <c r="M586" s="420"/>
      <c r="N586" s="420"/>
      <c r="O586" s="420"/>
      <c r="P586" s="420"/>
      <c r="Q586" s="420"/>
      <c r="R586" s="420"/>
      <c r="S586" s="420"/>
      <c r="T586" s="420"/>
      <c r="U586" s="420"/>
      <c r="V586" s="420"/>
      <c r="W586" s="420"/>
      <c r="X586" s="420"/>
      <c r="Y586" s="420"/>
      <c r="Z586" s="383"/>
    </row>
    <row r="587" spans="1:26" ht="15">
      <c r="A587" s="420"/>
      <c r="B587" s="420"/>
      <c r="C587" s="420"/>
      <c r="D587" s="420"/>
      <c r="E587" s="420"/>
      <c r="F587" s="420"/>
      <c r="G587" s="420"/>
      <c r="H587" s="420"/>
      <c r="I587" s="420"/>
      <c r="J587" s="420"/>
      <c r="K587" s="420"/>
      <c r="L587" s="420"/>
      <c r="M587" s="420"/>
      <c r="N587" s="420"/>
      <c r="O587" s="420"/>
      <c r="P587" s="420"/>
      <c r="Q587" s="420"/>
      <c r="R587" s="420"/>
      <c r="S587" s="420"/>
      <c r="T587" s="420"/>
      <c r="U587" s="420"/>
      <c r="V587" s="420"/>
      <c r="W587" s="420"/>
      <c r="X587" s="420"/>
      <c r="Y587" s="420"/>
      <c r="Z587" s="383"/>
    </row>
    <row r="588" spans="1:26" ht="15">
      <c r="A588" s="420"/>
      <c r="B588" s="420"/>
      <c r="C588" s="420"/>
      <c r="D588" s="420"/>
      <c r="E588" s="420"/>
      <c r="F588" s="420"/>
      <c r="G588" s="420"/>
      <c r="H588" s="420"/>
      <c r="I588" s="420"/>
      <c r="J588" s="420"/>
      <c r="K588" s="420"/>
      <c r="L588" s="420"/>
      <c r="M588" s="420"/>
      <c r="N588" s="420"/>
      <c r="O588" s="420"/>
      <c r="P588" s="420"/>
      <c r="Q588" s="420"/>
      <c r="R588" s="420"/>
      <c r="S588" s="420"/>
      <c r="T588" s="420"/>
      <c r="U588" s="420"/>
      <c r="V588" s="420"/>
      <c r="W588" s="420"/>
      <c r="X588" s="420"/>
      <c r="Y588" s="420"/>
      <c r="Z588" s="383"/>
    </row>
    <row r="589" spans="1:26" ht="15">
      <c r="A589" s="420"/>
      <c r="B589" s="420"/>
      <c r="C589" s="420"/>
      <c r="D589" s="420"/>
      <c r="E589" s="420"/>
      <c r="F589" s="420"/>
      <c r="G589" s="420"/>
      <c r="H589" s="420"/>
      <c r="I589" s="420"/>
      <c r="J589" s="420"/>
      <c r="K589" s="420"/>
      <c r="L589" s="420"/>
      <c r="M589" s="420"/>
      <c r="N589" s="420"/>
      <c r="O589" s="420"/>
      <c r="P589" s="420"/>
      <c r="Q589" s="420"/>
      <c r="R589" s="420"/>
      <c r="S589" s="420"/>
      <c r="T589" s="420"/>
      <c r="U589" s="420"/>
      <c r="V589" s="420"/>
      <c r="W589" s="420"/>
      <c r="X589" s="420"/>
      <c r="Y589" s="420"/>
      <c r="Z589" s="383"/>
    </row>
    <row r="590" spans="1:26" ht="15">
      <c r="A590" s="420"/>
      <c r="B590" s="420"/>
      <c r="C590" s="420"/>
      <c r="D590" s="420"/>
      <c r="E590" s="420"/>
      <c r="F590" s="420"/>
      <c r="G590" s="420"/>
      <c r="H590" s="420"/>
      <c r="I590" s="420"/>
      <c r="J590" s="420"/>
      <c r="K590" s="420"/>
      <c r="L590" s="420"/>
      <c r="M590" s="420"/>
      <c r="N590" s="420"/>
      <c r="O590" s="420"/>
      <c r="P590" s="420"/>
      <c r="Q590" s="420"/>
      <c r="R590" s="420"/>
      <c r="S590" s="420"/>
      <c r="T590" s="420"/>
      <c r="U590" s="420"/>
      <c r="V590" s="420"/>
      <c r="W590" s="420"/>
      <c r="X590" s="420"/>
      <c r="Y590" s="420"/>
      <c r="Z590" s="383"/>
    </row>
    <row r="591" spans="1:26" ht="15">
      <c r="A591" s="420"/>
      <c r="B591" s="420"/>
      <c r="C591" s="420"/>
      <c r="D591" s="420"/>
      <c r="E591" s="420"/>
      <c r="F591" s="420"/>
      <c r="G591" s="420"/>
      <c r="H591" s="420"/>
      <c r="I591" s="420"/>
      <c r="J591" s="420"/>
      <c r="K591" s="420"/>
      <c r="L591" s="420"/>
      <c r="M591" s="420"/>
      <c r="N591" s="420"/>
      <c r="O591" s="420"/>
      <c r="P591" s="420"/>
      <c r="Q591" s="420"/>
      <c r="R591" s="420"/>
      <c r="S591" s="420"/>
      <c r="T591" s="420"/>
      <c r="U591" s="420"/>
      <c r="V591" s="420"/>
      <c r="W591" s="420"/>
      <c r="X591" s="420"/>
      <c r="Y591" s="420"/>
      <c r="Z591" s="383"/>
    </row>
    <row r="592" spans="1:26" ht="15">
      <c r="A592" s="420"/>
      <c r="B592" s="420"/>
      <c r="C592" s="420"/>
      <c r="D592" s="420"/>
      <c r="E592" s="420"/>
      <c r="F592" s="420"/>
      <c r="G592" s="420"/>
      <c r="H592" s="420"/>
      <c r="I592" s="420"/>
      <c r="J592" s="420"/>
      <c r="K592" s="420"/>
      <c r="L592" s="420"/>
      <c r="M592" s="420"/>
      <c r="N592" s="420"/>
      <c r="O592" s="420"/>
      <c r="P592" s="420"/>
      <c r="Q592" s="420"/>
      <c r="R592" s="420"/>
      <c r="S592" s="420"/>
      <c r="T592" s="420"/>
      <c r="U592" s="420"/>
      <c r="V592" s="420"/>
      <c r="W592" s="420"/>
      <c r="X592" s="420"/>
      <c r="Y592" s="420"/>
      <c r="Z592" s="383"/>
    </row>
    <row r="593" spans="1:26" ht="15">
      <c r="A593" s="420"/>
      <c r="B593" s="420"/>
      <c r="C593" s="420"/>
      <c r="D593" s="420"/>
      <c r="E593" s="420"/>
      <c r="F593" s="420"/>
      <c r="G593" s="420"/>
      <c r="H593" s="420"/>
      <c r="I593" s="420"/>
      <c r="J593" s="420"/>
      <c r="K593" s="420"/>
      <c r="L593" s="420"/>
      <c r="M593" s="420"/>
      <c r="N593" s="420"/>
      <c r="O593" s="420"/>
      <c r="P593" s="420"/>
      <c r="Q593" s="420"/>
      <c r="R593" s="420"/>
      <c r="S593" s="420"/>
      <c r="T593" s="420"/>
      <c r="U593" s="420"/>
      <c r="V593" s="420"/>
      <c r="W593" s="420"/>
      <c r="X593" s="420"/>
      <c r="Y593" s="420"/>
      <c r="Z593" s="383"/>
    </row>
    <row r="594" spans="1:26" ht="15">
      <c r="A594" s="420"/>
      <c r="B594" s="420"/>
      <c r="C594" s="420"/>
      <c r="D594" s="420"/>
      <c r="E594" s="420"/>
      <c r="F594" s="420"/>
      <c r="G594" s="420"/>
      <c r="H594" s="420"/>
      <c r="I594" s="420"/>
      <c r="J594" s="420"/>
      <c r="K594" s="420"/>
      <c r="L594" s="420"/>
      <c r="M594" s="420"/>
      <c r="N594" s="420"/>
      <c r="O594" s="420"/>
      <c r="P594" s="420"/>
      <c r="Q594" s="420"/>
      <c r="R594" s="420"/>
      <c r="S594" s="420"/>
      <c r="T594" s="420"/>
      <c r="U594" s="420"/>
      <c r="V594" s="420"/>
      <c r="W594" s="420"/>
      <c r="X594" s="420"/>
      <c r="Y594" s="420"/>
      <c r="Z594" s="383"/>
    </row>
    <row r="595" spans="1:26" ht="15">
      <c r="A595" s="420"/>
      <c r="B595" s="420"/>
      <c r="C595" s="420"/>
      <c r="D595" s="420"/>
      <c r="E595" s="420"/>
      <c r="F595" s="420"/>
      <c r="G595" s="420"/>
      <c r="H595" s="420"/>
      <c r="I595" s="420"/>
      <c r="J595" s="420"/>
      <c r="K595" s="420"/>
      <c r="L595" s="420"/>
      <c r="M595" s="420"/>
      <c r="N595" s="420"/>
      <c r="O595" s="420"/>
      <c r="P595" s="420"/>
      <c r="Q595" s="420"/>
      <c r="R595" s="420"/>
      <c r="S595" s="420"/>
      <c r="T595" s="420"/>
      <c r="U595" s="420"/>
      <c r="V595" s="420"/>
      <c r="W595" s="420"/>
      <c r="X595" s="420"/>
      <c r="Y595" s="420"/>
      <c r="Z595" s="383"/>
    </row>
    <row r="596" spans="1:26" ht="15">
      <c r="A596" s="420"/>
      <c r="B596" s="420"/>
      <c r="C596" s="420"/>
      <c r="D596" s="420"/>
      <c r="E596" s="420"/>
      <c r="F596" s="420"/>
      <c r="G596" s="420"/>
      <c r="H596" s="420"/>
      <c r="I596" s="420"/>
      <c r="J596" s="420"/>
      <c r="K596" s="420"/>
      <c r="L596" s="420"/>
      <c r="M596" s="420"/>
      <c r="N596" s="420"/>
      <c r="O596" s="420"/>
      <c r="P596" s="420"/>
      <c r="Q596" s="420"/>
      <c r="R596" s="420"/>
      <c r="S596" s="420"/>
      <c r="T596" s="420"/>
      <c r="U596" s="420"/>
      <c r="V596" s="420"/>
      <c r="W596" s="420"/>
      <c r="X596" s="420"/>
      <c r="Y596" s="420"/>
      <c r="Z596" s="383"/>
    </row>
    <row r="597" spans="1:26" ht="15">
      <c r="A597" s="420"/>
      <c r="B597" s="420"/>
      <c r="C597" s="420"/>
      <c r="D597" s="420"/>
      <c r="E597" s="420"/>
      <c r="F597" s="420"/>
      <c r="G597" s="420"/>
      <c r="H597" s="420"/>
      <c r="I597" s="420"/>
      <c r="J597" s="420"/>
      <c r="K597" s="420"/>
      <c r="L597" s="420"/>
      <c r="M597" s="420"/>
      <c r="N597" s="420"/>
      <c r="O597" s="420"/>
      <c r="P597" s="420"/>
      <c r="Q597" s="420"/>
      <c r="R597" s="420"/>
      <c r="S597" s="420"/>
      <c r="T597" s="420"/>
      <c r="U597" s="420"/>
      <c r="V597" s="420"/>
      <c r="W597" s="420"/>
      <c r="X597" s="420"/>
      <c r="Y597" s="420"/>
      <c r="Z597" s="383"/>
    </row>
    <row r="598" spans="1:26" ht="15">
      <c r="A598" s="420"/>
      <c r="B598" s="420"/>
      <c r="C598" s="420"/>
      <c r="D598" s="420"/>
      <c r="E598" s="420"/>
      <c r="F598" s="420"/>
      <c r="G598" s="420"/>
      <c r="H598" s="420"/>
      <c r="I598" s="420"/>
      <c r="J598" s="420"/>
      <c r="K598" s="420"/>
      <c r="L598" s="420"/>
      <c r="M598" s="420"/>
      <c r="N598" s="420"/>
      <c r="O598" s="420"/>
      <c r="P598" s="420"/>
      <c r="Q598" s="420"/>
      <c r="R598" s="420"/>
      <c r="S598" s="420"/>
      <c r="T598" s="420"/>
      <c r="U598" s="420"/>
      <c r="V598" s="420"/>
      <c r="W598" s="420"/>
      <c r="X598" s="420"/>
      <c r="Y598" s="420"/>
      <c r="Z598" s="383"/>
    </row>
    <row r="599" spans="1:26" ht="15">
      <c r="A599" s="420"/>
      <c r="B599" s="420"/>
      <c r="C599" s="420"/>
      <c r="D599" s="420"/>
      <c r="E599" s="420"/>
      <c r="F599" s="420"/>
      <c r="G599" s="420"/>
      <c r="H599" s="420"/>
      <c r="I599" s="420"/>
      <c r="J599" s="420"/>
      <c r="K599" s="420"/>
      <c r="L599" s="420"/>
      <c r="M599" s="420"/>
      <c r="N599" s="420"/>
      <c r="O599" s="420"/>
      <c r="P599" s="420"/>
      <c r="Q599" s="420"/>
      <c r="R599" s="420"/>
      <c r="S599" s="420"/>
      <c r="T599" s="420"/>
      <c r="U599" s="420"/>
      <c r="V599" s="420"/>
      <c r="W599" s="420"/>
      <c r="X599" s="420"/>
      <c r="Y599" s="420"/>
      <c r="Z599" s="383"/>
    </row>
    <row r="600" spans="1:26" ht="15">
      <c r="A600" s="420"/>
      <c r="B600" s="420"/>
      <c r="C600" s="420"/>
      <c r="D600" s="420"/>
      <c r="E600" s="420"/>
      <c r="F600" s="420"/>
      <c r="G600" s="420"/>
      <c r="H600" s="420"/>
      <c r="I600" s="420"/>
      <c r="J600" s="420"/>
      <c r="K600" s="420"/>
      <c r="L600" s="420"/>
      <c r="M600" s="420"/>
      <c r="N600" s="420"/>
      <c r="O600" s="420"/>
      <c r="P600" s="420"/>
      <c r="Q600" s="420"/>
      <c r="R600" s="420"/>
      <c r="S600" s="420"/>
      <c r="T600" s="420"/>
      <c r="U600" s="420"/>
      <c r="V600" s="420"/>
      <c r="W600" s="420"/>
      <c r="X600" s="420"/>
      <c r="Y600" s="420"/>
      <c r="Z600" s="383"/>
    </row>
    <row r="601" spans="1:26" ht="15">
      <c r="A601" s="420"/>
      <c r="B601" s="420"/>
      <c r="C601" s="420"/>
      <c r="D601" s="420"/>
      <c r="E601" s="420"/>
      <c r="F601" s="420"/>
      <c r="G601" s="420"/>
      <c r="H601" s="420"/>
      <c r="I601" s="420"/>
      <c r="J601" s="420"/>
      <c r="K601" s="420"/>
      <c r="L601" s="420"/>
      <c r="M601" s="420"/>
      <c r="N601" s="420"/>
      <c r="O601" s="420"/>
      <c r="P601" s="420"/>
      <c r="Q601" s="420"/>
      <c r="R601" s="420"/>
      <c r="S601" s="420"/>
      <c r="T601" s="420"/>
      <c r="U601" s="420"/>
      <c r="V601" s="420"/>
      <c r="W601" s="420"/>
      <c r="X601" s="420"/>
      <c r="Y601" s="420"/>
      <c r="Z601" s="383"/>
    </row>
    <row r="602" spans="1:26" ht="15">
      <c r="A602" s="420"/>
      <c r="B602" s="420"/>
      <c r="C602" s="420"/>
      <c r="D602" s="420"/>
      <c r="E602" s="420"/>
      <c r="F602" s="420"/>
      <c r="G602" s="420"/>
      <c r="H602" s="420"/>
      <c r="I602" s="420"/>
      <c r="J602" s="420"/>
      <c r="K602" s="420"/>
      <c r="L602" s="420"/>
      <c r="M602" s="420"/>
      <c r="N602" s="420"/>
      <c r="O602" s="420"/>
      <c r="P602" s="420"/>
      <c r="Q602" s="420"/>
      <c r="R602" s="420"/>
      <c r="S602" s="420"/>
      <c r="T602" s="420"/>
      <c r="U602" s="420"/>
      <c r="V602" s="420"/>
      <c r="W602" s="420"/>
      <c r="X602" s="420"/>
      <c r="Y602" s="420"/>
      <c r="Z602" s="383"/>
    </row>
    <row r="603" spans="1:26" ht="15">
      <c r="A603" s="420"/>
      <c r="B603" s="420"/>
      <c r="C603" s="420"/>
      <c r="D603" s="420"/>
      <c r="E603" s="420"/>
      <c r="F603" s="420"/>
      <c r="G603" s="420"/>
      <c r="H603" s="420"/>
      <c r="I603" s="420"/>
      <c r="J603" s="420"/>
      <c r="K603" s="420"/>
      <c r="L603" s="420"/>
      <c r="M603" s="420"/>
      <c r="N603" s="420"/>
      <c r="O603" s="420"/>
      <c r="P603" s="420"/>
      <c r="Q603" s="420"/>
      <c r="R603" s="420"/>
      <c r="S603" s="420"/>
      <c r="T603" s="420"/>
      <c r="U603" s="420"/>
      <c r="V603" s="420"/>
      <c r="W603" s="420"/>
      <c r="X603" s="420"/>
      <c r="Y603" s="420"/>
      <c r="Z603" s="383"/>
    </row>
    <row r="604" spans="1:26" ht="15">
      <c r="A604" s="420"/>
      <c r="B604" s="420"/>
      <c r="C604" s="420"/>
      <c r="D604" s="420"/>
      <c r="E604" s="420"/>
      <c r="F604" s="420"/>
      <c r="G604" s="420"/>
      <c r="H604" s="420"/>
      <c r="I604" s="420"/>
      <c r="J604" s="420"/>
      <c r="K604" s="420"/>
      <c r="L604" s="420"/>
      <c r="M604" s="420"/>
      <c r="N604" s="420"/>
      <c r="O604" s="420"/>
      <c r="P604" s="420"/>
      <c r="Q604" s="420"/>
      <c r="R604" s="420"/>
      <c r="S604" s="420"/>
      <c r="T604" s="420"/>
      <c r="U604" s="420"/>
      <c r="V604" s="420"/>
      <c r="W604" s="420"/>
      <c r="X604" s="420"/>
      <c r="Y604" s="420"/>
      <c r="Z604" s="383"/>
    </row>
    <row r="605" spans="1:26" ht="15">
      <c r="A605" s="420"/>
      <c r="B605" s="420"/>
      <c r="C605" s="420"/>
      <c r="D605" s="420"/>
      <c r="E605" s="420"/>
      <c r="F605" s="420"/>
      <c r="G605" s="420"/>
      <c r="H605" s="420"/>
      <c r="I605" s="420"/>
      <c r="J605" s="420"/>
      <c r="K605" s="420"/>
      <c r="L605" s="420"/>
      <c r="M605" s="420"/>
      <c r="N605" s="420"/>
      <c r="O605" s="420"/>
      <c r="P605" s="420"/>
      <c r="Q605" s="420"/>
      <c r="R605" s="420"/>
      <c r="S605" s="420"/>
      <c r="T605" s="420"/>
      <c r="U605" s="420"/>
      <c r="V605" s="420"/>
      <c r="W605" s="420"/>
      <c r="X605" s="420"/>
      <c r="Y605" s="420"/>
      <c r="Z605" s="383"/>
    </row>
    <row r="606" spans="1:26" ht="15">
      <c r="A606" s="420"/>
      <c r="B606" s="420"/>
      <c r="C606" s="420"/>
      <c r="D606" s="420"/>
      <c r="E606" s="420"/>
      <c r="F606" s="420"/>
      <c r="G606" s="420"/>
      <c r="H606" s="420"/>
      <c r="I606" s="420"/>
      <c r="J606" s="420"/>
      <c r="K606" s="420"/>
      <c r="L606" s="420"/>
      <c r="M606" s="420"/>
      <c r="N606" s="420"/>
      <c r="O606" s="420"/>
      <c r="P606" s="420"/>
      <c r="Q606" s="420"/>
      <c r="R606" s="420"/>
      <c r="S606" s="420"/>
      <c r="T606" s="420"/>
      <c r="U606" s="420"/>
      <c r="V606" s="420"/>
      <c r="W606" s="420"/>
      <c r="X606" s="420"/>
      <c r="Y606" s="420"/>
      <c r="Z606" s="383"/>
    </row>
    <row r="607" spans="1:26" ht="15">
      <c r="A607" s="420"/>
      <c r="B607" s="420"/>
      <c r="C607" s="420"/>
      <c r="D607" s="420"/>
      <c r="E607" s="420"/>
      <c r="F607" s="420"/>
      <c r="G607" s="420"/>
      <c r="H607" s="420"/>
      <c r="I607" s="420"/>
      <c r="J607" s="420"/>
      <c r="K607" s="420"/>
      <c r="L607" s="420"/>
      <c r="M607" s="420"/>
      <c r="N607" s="420"/>
      <c r="O607" s="420"/>
      <c r="P607" s="420"/>
      <c r="Q607" s="420"/>
      <c r="R607" s="420"/>
      <c r="S607" s="420"/>
      <c r="T607" s="420"/>
      <c r="U607" s="420"/>
      <c r="V607" s="420"/>
      <c r="W607" s="420"/>
      <c r="X607" s="420"/>
      <c r="Y607" s="420"/>
      <c r="Z607" s="383"/>
    </row>
    <row r="608" spans="1:26" ht="15">
      <c r="A608" s="420"/>
      <c r="B608" s="420"/>
      <c r="C608" s="420"/>
      <c r="D608" s="420"/>
      <c r="E608" s="420"/>
      <c r="F608" s="420"/>
      <c r="G608" s="420"/>
      <c r="H608" s="420"/>
      <c r="I608" s="420"/>
      <c r="J608" s="420"/>
      <c r="K608" s="420"/>
      <c r="L608" s="420"/>
      <c r="M608" s="420"/>
      <c r="N608" s="420"/>
      <c r="O608" s="420"/>
      <c r="P608" s="420"/>
      <c r="Q608" s="420"/>
      <c r="R608" s="420"/>
      <c r="S608" s="420"/>
      <c r="T608" s="420"/>
      <c r="U608" s="420"/>
      <c r="V608" s="420"/>
      <c r="W608" s="420"/>
      <c r="X608" s="420"/>
      <c r="Y608" s="420"/>
      <c r="Z608" s="383"/>
    </row>
    <row r="609" spans="1:26" ht="15">
      <c r="A609" s="420"/>
      <c r="B609" s="420"/>
      <c r="C609" s="420"/>
      <c r="D609" s="420"/>
      <c r="E609" s="420"/>
      <c r="F609" s="420"/>
      <c r="G609" s="420"/>
      <c r="H609" s="420"/>
      <c r="I609" s="420"/>
      <c r="J609" s="420"/>
      <c r="K609" s="420"/>
      <c r="L609" s="420"/>
      <c r="M609" s="420"/>
      <c r="N609" s="420"/>
      <c r="O609" s="420"/>
      <c r="P609" s="420"/>
      <c r="Q609" s="420"/>
      <c r="R609" s="420"/>
      <c r="S609" s="420"/>
      <c r="T609" s="420"/>
      <c r="U609" s="420"/>
      <c r="V609" s="420"/>
      <c r="W609" s="420"/>
      <c r="X609" s="420"/>
      <c r="Y609" s="420"/>
      <c r="Z609" s="383"/>
    </row>
    <row r="610" spans="1:26" ht="15">
      <c r="A610" s="420"/>
      <c r="B610" s="420"/>
      <c r="C610" s="420"/>
      <c r="D610" s="420"/>
      <c r="E610" s="420"/>
      <c r="F610" s="420"/>
      <c r="G610" s="420"/>
      <c r="H610" s="420"/>
      <c r="I610" s="420"/>
      <c r="J610" s="420"/>
      <c r="K610" s="420"/>
      <c r="L610" s="420"/>
      <c r="M610" s="420"/>
      <c r="N610" s="420"/>
      <c r="O610" s="420"/>
      <c r="P610" s="420"/>
      <c r="Q610" s="420"/>
      <c r="R610" s="420"/>
      <c r="S610" s="420"/>
      <c r="T610" s="420"/>
      <c r="U610" s="420"/>
      <c r="V610" s="420"/>
      <c r="W610" s="420"/>
      <c r="X610" s="420"/>
      <c r="Y610" s="420"/>
      <c r="Z610" s="383"/>
    </row>
    <row r="611" spans="1:26" ht="15">
      <c r="A611" s="420"/>
      <c r="B611" s="420"/>
      <c r="C611" s="420"/>
      <c r="D611" s="420"/>
      <c r="E611" s="420"/>
      <c r="F611" s="420"/>
      <c r="G611" s="420"/>
      <c r="H611" s="420"/>
      <c r="I611" s="420"/>
      <c r="J611" s="420"/>
      <c r="K611" s="420"/>
      <c r="L611" s="420"/>
      <c r="M611" s="420"/>
      <c r="N611" s="420"/>
      <c r="O611" s="420"/>
      <c r="P611" s="420"/>
      <c r="Q611" s="420"/>
      <c r="R611" s="420"/>
      <c r="S611" s="420"/>
      <c r="T611" s="420"/>
      <c r="U611" s="420"/>
      <c r="V611" s="420"/>
      <c r="W611" s="420"/>
      <c r="X611" s="420"/>
      <c r="Y611" s="420"/>
      <c r="Z611" s="383"/>
    </row>
    <row r="612" spans="1:26" ht="15">
      <c r="A612" s="420"/>
      <c r="B612" s="420"/>
      <c r="C612" s="420"/>
      <c r="D612" s="420"/>
      <c r="E612" s="420"/>
      <c r="F612" s="420"/>
      <c r="G612" s="420"/>
      <c r="H612" s="420"/>
      <c r="I612" s="420"/>
      <c r="J612" s="420"/>
      <c r="K612" s="420"/>
      <c r="L612" s="420"/>
      <c r="M612" s="420"/>
      <c r="N612" s="420"/>
      <c r="O612" s="420"/>
      <c r="P612" s="420"/>
      <c r="Q612" s="420"/>
      <c r="R612" s="420"/>
      <c r="S612" s="420"/>
      <c r="T612" s="420"/>
      <c r="U612" s="420"/>
      <c r="V612" s="420"/>
      <c r="W612" s="420"/>
      <c r="X612" s="420"/>
      <c r="Y612" s="420"/>
      <c r="Z612" s="383"/>
    </row>
    <row r="613" spans="1:26" ht="15">
      <c r="A613" s="420"/>
      <c r="B613" s="420"/>
      <c r="C613" s="420"/>
      <c r="D613" s="420"/>
      <c r="E613" s="420"/>
      <c r="F613" s="420"/>
      <c r="G613" s="420"/>
      <c r="H613" s="420"/>
      <c r="I613" s="420"/>
      <c r="J613" s="420"/>
      <c r="K613" s="420"/>
      <c r="L613" s="420"/>
      <c r="M613" s="420"/>
      <c r="N613" s="420"/>
      <c r="O613" s="420"/>
      <c r="P613" s="420"/>
      <c r="Q613" s="420"/>
      <c r="R613" s="420"/>
      <c r="S613" s="420"/>
      <c r="T613" s="420"/>
      <c r="U613" s="420"/>
      <c r="V613" s="420"/>
      <c r="W613" s="420"/>
      <c r="X613" s="420"/>
      <c r="Y613" s="420"/>
      <c r="Z613" s="383"/>
    </row>
    <row r="614" spans="1:26" ht="15">
      <c r="A614" s="420"/>
      <c r="B614" s="420"/>
      <c r="C614" s="420"/>
      <c r="D614" s="420"/>
      <c r="E614" s="420"/>
      <c r="F614" s="420"/>
      <c r="G614" s="420"/>
      <c r="H614" s="420"/>
      <c r="I614" s="420"/>
      <c r="J614" s="420"/>
      <c r="K614" s="420"/>
      <c r="L614" s="420"/>
      <c r="M614" s="420"/>
      <c r="N614" s="420"/>
      <c r="O614" s="420"/>
      <c r="P614" s="420"/>
      <c r="Q614" s="420"/>
      <c r="R614" s="420"/>
      <c r="S614" s="420"/>
      <c r="T614" s="420"/>
      <c r="U614" s="420"/>
      <c r="V614" s="420"/>
      <c r="W614" s="420"/>
      <c r="X614" s="420"/>
      <c r="Y614" s="420"/>
      <c r="Z614" s="383"/>
    </row>
    <row r="615" spans="1:26" ht="15">
      <c r="A615" s="420"/>
      <c r="B615" s="420"/>
      <c r="C615" s="420"/>
      <c r="D615" s="420"/>
      <c r="E615" s="420"/>
      <c r="F615" s="420"/>
      <c r="G615" s="420"/>
      <c r="H615" s="420"/>
      <c r="I615" s="420"/>
      <c r="J615" s="420"/>
      <c r="K615" s="420"/>
      <c r="L615" s="420"/>
      <c r="M615" s="420"/>
      <c r="N615" s="420"/>
      <c r="O615" s="420"/>
      <c r="P615" s="420"/>
      <c r="Q615" s="420"/>
      <c r="R615" s="420"/>
      <c r="S615" s="420"/>
      <c r="T615" s="420"/>
      <c r="U615" s="420"/>
      <c r="V615" s="420"/>
      <c r="W615" s="420"/>
      <c r="X615" s="420"/>
      <c r="Y615" s="420"/>
      <c r="Z615" s="383"/>
    </row>
    <row r="616" spans="1:26" ht="15">
      <c r="A616" s="420"/>
      <c r="B616" s="420"/>
      <c r="C616" s="420"/>
      <c r="D616" s="420"/>
      <c r="E616" s="420"/>
      <c r="F616" s="420"/>
      <c r="G616" s="420"/>
      <c r="H616" s="420"/>
      <c r="I616" s="420"/>
      <c r="J616" s="420"/>
      <c r="K616" s="420"/>
      <c r="L616" s="420"/>
      <c r="M616" s="420"/>
      <c r="N616" s="420"/>
      <c r="O616" s="420"/>
      <c r="P616" s="420"/>
      <c r="Q616" s="420"/>
      <c r="R616" s="420"/>
      <c r="S616" s="420"/>
      <c r="T616" s="420"/>
      <c r="U616" s="420"/>
      <c r="V616" s="420"/>
      <c r="W616" s="420"/>
      <c r="X616" s="420"/>
      <c r="Y616" s="420"/>
      <c r="Z616" s="383"/>
    </row>
    <row r="617" spans="1:26" ht="15">
      <c r="A617" s="420"/>
      <c r="B617" s="420"/>
      <c r="C617" s="420"/>
      <c r="D617" s="420"/>
      <c r="E617" s="420"/>
      <c r="F617" s="420"/>
      <c r="G617" s="420"/>
      <c r="H617" s="420"/>
      <c r="I617" s="420"/>
      <c r="J617" s="420"/>
      <c r="K617" s="420"/>
      <c r="L617" s="420"/>
      <c r="M617" s="420"/>
      <c r="N617" s="420"/>
      <c r="O617" s="420"/>
      <c r="P617" s="420"/>
      <c r="Q617" s="420"/>
      <c r="R617" s="420"/>
      <c r="S617" s="420"/>
      <c r="T617" s="420"/>
      <c r="U617" s="420"/>
      <c r="V617" s="420"/>
      <c r="W617" s="420"/>
      <c r="X617" s="420"/>
      <c r="Y617" s="420"/>
      <c r="Z617" s="383"/>
    </row>
    <row r="618" spans="1:26" ht="15">
      <c r="A618" s="420"/>
      <c r="B618" s="420"/>
      <c r="C618" s="420"/>
      <c r="D618" s="420"/>
      <c r="E618" s="420"/>
      <c r="F618" s="420"/>
      <c r="G618" s="420"/>
      <c r="H618" s="420"/>
      <c r="I618" s="420"/>
      <c r="J618" s="420"/>
      <c r="K618" s="420"/>
      <c r="L618" s="420"/>
      <c r="M618" s="420"/>
      <c r="N618" s="420"/>
      <c r="O618" s="420"/>
      <c r="P618" s="420"/>
      <c r="Q618" s="420"/>
      <c r="R618" s="420"/>
      <c r="S618" s="420"/>
      <c r="T618" s="420"/>
      <c r="U618" s="420"/>
      <c r="V618" s="420"/>
      <c r="W618" s="420"/>
      <c r="X618" s="420"/>
      <c r="Y618" s="420"/>
      <c r="Z618" s="383"/>
    </row>
    <row r="619" spans="1:26" ht="15">
      <c r="A619" s="420"/>
      <c r="B619" s="420"/>
      <c r="C619" s="420"/>
      <c r="D619" s="420"/>
      <c r="E619" s="420"/>
      <c r="F619" s="420"/>
      <c r="G619" s="420"/>
      <c r="H619" s="420"/>
      <c r="I619" s="420"/>
      <c r="J619" s="420"/>
      <c r="K619" s="420"/>
      <c r="L619" s="420"/>
      <c r="M619" s="420"/>
      <c r="N619" s="420"/>
      <c r="O619" s="420"/>
      <c r="P619" s="420"/>
      <c r="Q619" s="420"/>
      <c r="R619" s="420"/>
      <c r="S619" s="420"/>
      <c r="T619" s="420"/>
      <c r="U619" s="420"/>
      <c r="V619" s="420"/>
      <c r="W619" s="420"/>
      <c r="X619" s="420"/>
      <c r="Y619" s="420"/>
      <c r="Z619" s="383"/>
    </row>
    <row r="620" spans="1:26" ht="15">
      <c r="A620" s="420"/>
      <c r="B620" s="420"/>
      <c r="C620" s="420"/>
      <c r="D620" s="420"/>
      <c r="E620" s="420"/>
      <c r="F620" s="420"/>
      <c r="G620" s="420"/>
      <c r="H620" s="420"/>
      <c r="I620" s="420"/>
      <c r="J620" s="420"/>
      <c r="K620" s="420"/>
      <c r="L620" s="420"/>
      <c r="M620" s="420"/>
      <c r="N620" s="420"/>
      <c r="O620" s="420"/>
      <c r="P620" s="420"/>
      <c r="Q620" s="420"/>
      <c r="R620" s="420"/>
      <c r="S620" s="420"/>
      <c r="T620" s="420"/>
      <c r="U620" s="420"/>
      <c r="V620" s="420"/>
      <c r="W620" s="420"/>
      <c r="X620" s="420"/>
      <c r="Y620" s="420"/>
      <c r="Z620" s="383"/>
    </row>
    <row r="621" spans="1:26" ht="15">
      <c r="A621" s="420"/>
      <c r="B621" s="420"/>
      <c r="C621" s="420"/>
      <c r="D621" s="420"/>
      <c r="E621" s="420"/>
      <c r="F621" s="420"/>
      <c r="G621" s="420"/>
      <c r="H621" s="420"/>
      <c r="I621" s="420"/>
      <c r="J621" s="420"/>
      <c r="K621" s="420"/>
      <c r="L621" s="420"/>
      <c r="M621" s="420"/>
      <c r="N621" s="420"/>
      <c r="O621" s="420"/>
      <c r="P621" s="420"/>
      <c r="Q621" s="420"/>
      <c r="R621" s="420"/>
      <c r="S621" s="420"/>
      <c r="T621" s="420"/>
      <c r="U621" s="420"/>
      <c r="V621" s="420"/>
      <c r="W621" s="420"/>
      <c r="X621" s="420"/>
      <c r="Y621" s="420"/>
      <c r="Z621" s="383"/>
    </row>
    <row r="622" spans="1:26" ht="15">
      <c r="A622" s="420"/>
      <c r="B622" s="420"/>
      <c r="C622" s="420"/>
      <c r="D622" s="420"/>
      <c r="E622" s="420"/>
      <c r="F622" s="420"/>
      <c r="G622" s="420"/>
      <c r="H622" s="420"/>
      <c r="I622" s="420"/>
      <c r="J622" s="420"/>
      <c r="K622" s="420"/>
      <c r="L622" s="420"/>
      <c r="M622" s="420"/>
      <c r="N622" s="420"/>
      <c r="O622" s="420"/>
      <c r="P622" s="420"/>
      <c r="Q622" s="420"/>
      <c r="R622" s="420"/>
      <c r="S622" s="420"/>
      <c r="T622" s="420"/>
      <c r="U622" s="420"/>
      <c r="V622" s="420"/>
      <c r="W622" s="420"/>
      <c r="X622" s="420"/>
      <c r="Y622" s="420"/>
      <c r="Z622" s="383"/>
    </row>
    <row r="623" spans="1:26" ht="15">
      <c r="A623" s="420"/>
      <c r="B623" s="420"/>
      <c r="C623" s="420"/>
      <c r="D623" s="420"/>
      <c r="E623" s="420"/>
      <c r="F623" s="420"/>
      <c r="G623" s="420"/>
      <c r="H623" s="420"/>
      <c r="I623" s="420"/>
      <c r="J623" s="420"/>
      <c r="K623" s="420"/>
      <c r="L623" s="420"/>
      <c r="M623" s="420"/>
      <c r="N623" s="420"/>
      <c r="O623" s="420"/>
      <c r="P623" s="420"/>
      <c r="Q623" s="420"/>
      <c r="R623" s="420"/>
      <c r="S623" s="420"/>
      <c r="T623" s="420"/>
      <c r="U623" s="420"/>
      <c r="V623" s="420"/>
      <c r="W623" s="420"/>
      <c r="X623" s="420"/>
      <c r="Y623" s="420"/>
      <c r="Z623" s="383"/>
    </row>
    <row r="624" spans="1:26" ht="15">
      <c r="A624" s="420"/>
      <c r="B624" s="420"/>
      <c r="C624" s="420"/>
      <c r="D624" s="420"/>
      <c r="E624" s="420"/>
      <c r="F624" s="420"/>
      <c r="G624" s="420"/>
      <c r="H624" s="420"/>
      <c r="I624" s="420"/>
      <c r="J624" s="420"/>
      <c r="K624" s="420"/>
      <c r="L624" s="420"/>
      <c r="M624" s="420"/>
      <c r="N624" s="420"/>
      <c r="O624" s="420"/>
      <c r="P624" s="420"/>
      <c r="Q624" s="420"/>
      <c r="R624" s="420"/>
      <c r="S624" s="420"/>
      <c r="T624" s="420"/>
      <c r="U624" s="420"/>
      <c r="V624" s="420"/>
      <c r="W624" s="420"/>
      <c r="X624" s="420"/>
      <c r="Y624" s="420"/>
      <c r="Z624" s="383"/>
    </row>
    <row r="625" spans="1:26" ht="15">
      <c r="A625" s="420"/>
      <c r="B625" s="420"/>
      <c r="C625" s="420"/>
      <c r="D625" s="420"/>
      <c r="E625" s="420"/>
      <c r="F625" s="420"/>
      <c r="G625" s="420"/>
      <c r="H625" s="420"/>
      <c r="I625" s="420"/>
      <c r="J625" s="420"/>
      <c r="K625" s="420"/>
      <c r="L625" s="420"/>
      <c r="M625" s="420"/>
      <c r="N625" s="420"/>
      <c r="O625" s="420"/>
      <c r="P625" s="420"/>
      <c r="Q625" s="420"/>
      <c r="R625" s="420"/>
      <c r="S625" s="420"/>
      <c r="T625" s="420"/>
      <c r="U625" s="420"/>
      <c r="V625" s="420"/>
      <c r="W625" s="420"/>
      <c r="X625" s="420"/>
      <c r="Y625" s="420"/>
      <c r="Z625" s="383"/>
    </row>
    <row r="626" spans="1:26" ht="15">
      <c r="A626" s="420"/>
      <c r="B626" s="420"/>
      <c r="C626" s="420"/>
      <c r="D626" s="420"/>
      <c r="E626" s="420"/>
      <c r="F626" s="420"/>
      <c r="G626" s="420"/>
      <c r="H626" s="420"/>
      <c r="I626" s="420"/>
      <c r="J626" s="420"/>
      <c r="K626" s="420"/>
      <c r="L626" s="420"/>
      <c r="M626" s="420"/>
      <c r="N626" s="420"/>
      <c r="O626" s="420"/>
      <c r="P626" s="420"/>
      <c r="Q626" s="420"/>
      <c r="R626" s="420"/>
      <c r="S626" s="420"/>
      <c r="T626" s="420"/>
      <c r="U626" s="420"/>
      <c r="V626" s="420"/>
      <c r="W626" s="420"/>
      <c r="X626" s="420"/>
      <c r="Y626" s="420"/>
      <c r="Z626" s="383"/>
    </row>
    <row r="627" spans="1:26" ht="15">
      <c r="A627" s="420"/>
      <c r="B627" s="420"/>
      <c r="C627" s="420"/>
      <c r="D627" s="420"/>
      <c r="E627" s="420"/>
      <c r="F627" s="420"/>
      <c r="G627" s="420"/>
      <c r="H627" s="420"/>
      <c r="I627" s="420"/>
      <c r="J627" s="420"/>
      <c r="K627" s="420"/>
      <c r="L627" s="420"/>
      <c r="M627" s="420"/>
      <c r="N627" s="420"/>
      <c r="O627" s="420"/>
      <c r="P627" s="420"/>
      <c r="Q627" s="420"/>
      <c r="R627" s="420"/>
      <c r="S627" s="420"/>
      <c r="T627" s="420"/>
      <c r="U627" s="420"/>
      <c r="V627" s="420"/>
      <c r="W627" s="420"/>
      <c r="X627" s="420"/>
      <c r="Y627" s="420"/>
      <c r="Z627" s="383"/>
    </row>
    <row r="628" spans="1:26" ht="15">
      <c r="A628" s="420"/>
      <c r="B628" s="420"/>
      <c r="C628" s="420"/>
      <c r="D628" s="420"/>
      <c r="E628" s="420"/>
      <c r="F628" s="420"/>
      <c r="G628" s="420"/>
      <c r="H628" s="420"/>
      <c r="I628" s="420"/>
      <c r="J628" s="420"/>
      <c r="K628" s="420"/>
      <c r="L628" s="420"/>
      <c r="M628" s="420"/>
      <c r="N628" s="420"/>
      <c r="O628" s="420"/>
      <c r="P628" s="420"/>
      <c r="Q628" s="420"/>
      <c r="R628" s="420"/>
      <c r="S628" s="420"/>
      <c r="T628" s="420"/>
      <c r="U628" s="420"/>
      <c r="V628" s="420"/>
      <c r="W628" s="420"/>
      <c r="X628" s="420"/>
      <c r="Y628" s="420"/>
      <c r="Z628" s="383"/>
    </row>
    <row r="629" spans="1:26" ht="15">
      <c r="A629" s="420"/>
      <c r="B629" s="420"/>
      <c r="C629" s="420"/>
      <c r="D629" s="420"/>
      <c r="E629" s="420"/>
      <c r="F629" s="420"/>
      <c r="G629" s="420"/>
      <c r="H629" s="420"/>
      <c r="I629" s="420"/>
      <c r="J629" s="420"/>
      <c r="K629" s="420"/>
      <c r="L629" s="420"/>
      <c r="M629" s="420"/>
      <c r="N629" s="420"/>
      <c r="O629" s="420"/>
      <c r="P629" s="420"/>
      <c r="Q629" s="420"/>
      <c r="R629" s="420"/>
      <c r="S629" s="420"/>
      <c r="T629" s="420"/>
      <c r="U629" s="420"/>
      <c r="V629" s="420"/>
      <c r="W629" s="420"/>
      <c r="X629" s="420"/>
      <c r="Y629" s="420"/>
      <c r="Z629" s="383"/>
    </row>
    <row r="630" spans="1:26" ht="15">
      <c r="A630" s="420"/>
      <c r="B630" s="420"/>
      <c r="C630" s="420"/>
      <c r="D630" s="420"/>
      <c r="E630" s="420"/>
      <c r="F630" s="420"/>
      <c r="G630" s="420"/>
      <c r="H630" s="420"/>
      <c r="I630" s="420"/>
      <c r="J630" s="420"/>
      <c r="K630" s="420"/>
      <c r="L630" s="420"/>
      <c r="M630" s="420"/>
      <c r="N630" s="420"/>
      <c r="O630" s="420"/>
      <c r="P630" s="420"/>
      <c r="Q630" s="420"/>
      <c r="R630" s="420"/>
      <c r="S630" s="420"/>
      <c r="T630" s="420"/>
      <c r="U630" s="420"/>
      <c r="V630" s="420"/>
      <c r="W630" s="420"/>
      <c r="X630" s="420"/>
      <c r="Y630" s="420"/>
      <c r="Z630" s="383"/>
    </row>
    <row r="631" spans="1:26" ht="15">
      <c r="A631" s="420"/>
      <c r="B631" s="420"/>
      <c r="C631" s="420"/>
      <c r="D631" s="420"/>
      <c r="E631" s="420"/>
      <c r="F631" s="420"/>
      <c r="G631" s="420"/>
      <c r="H631" s="420"/>
      <c r="I631" s="420"/>
      <c r="J631" s="420"/>
      <c r="K631" s="420"/>
      <c r="L631" s="420"/>
      <c r="M631" s="420"/>
      <c r="N631" s="420"/>
      <c r="O631" s="420"/>
      <c r="P631" s="420"/>
      <c r="Q631" s="420"/>
      <c r="R631" s="420"/>
      <c r="S631" s="420"/>
      <c r="T631" s="420"/>
      <c r="U631" s="420"/>
      <c r="V631" s="420"/>
      <c r="W631" s="420"/>
      <c r="X631" s="420"/>
      <c r="Y631" s="420"/>
      <c r="Z631" s="383"/>
    </row>
    <row r="632" spans="1:26" ht="15">
      <c r="A632" s="420"/>
      <c r="B632" s="420"/>
      <c r="C632" s="420"/>
      <c r="D632" s="420"/>
      <c r="E632" s="420"/>
      <c r="F632" s="420"/>
      <c r="G632" s="420"/>
      <c r="H632" s="420"/>
      <c r="I632" s="420"/>
      <c r="J632" s="420"/>
      <c r="K632" s="420"/>
      <c r="L632" s="420"/>
      <c r="M632" s="420"/>
      <c r="N632" s="420"/>
      <c r="O632" s="420"/>
      <c r="P632" s="420"/>
      <c r="Q632" s="420"/>
      <c r="R632" s="420"/>
      <c r="S632" s="420"/>
      <c r="T632" s="420"/>
      <c r="U632" s="420"/>
      <c r="V632" s="420"/>
      <c r="W632" s="420"/>
      <c r="X632" s="420"/>
      <c r="Y632" s="420"/>
      <c r="Z632" s="383"/>
    </row>
    <row r="633" spans="1:26" ht="15">
      <c r="A633" s="420"/>
      <c r="B633" s="420"/>
      <c r="C633" s="420"/>
      <c r="D633" s="420"/>
      <c r="E633" s="420"/>
      <c r="F633" s="420"/>
      <c r="G633" s="420"/>
      <c r="H633" s="420"/>
      <c r="I633" s="420"/>
      <c r="J633" s="420"/>
      <c r="K633" s="420"/>
      <c r="L633" s="420"/>
      <c r="M633" s="420"/>
      <c r="N633" s="420"/>
      <c r="O633" s="420"/>
      <c r="P633" s="420"/>
      <c r="Q633" s="420"/>
      <c r="R633" s="420"/>
      <c r="S633" s="420"/>
      <c r="T633" s="420"/>
      <c r="U633" s="420"/>
      <c r="V633" s="420"/>
      <c r="W633" s="420"/>
      <c r="X633" s="420"/>
      <c r="Y633" s="420"/>
      <c r="Z633" s="383"/>
    </row>
    <row r="634" spans="1:26" ht="15">
      <c r="A634" s="420"/>
      <c r="B634" s="420"/>
      <c r="C634" s="420"/>
      <c r="D634" s="420"/>
      <c r="E634" s="420"/>
      <c r="F634" s="420"/>
      <c r="G634" s="420"/>
      <c r="H634" s="420"/>
      <c r="I634" s="420"/>
      <c r="J634" s="420"/>
      <c r="K634" s="420"/>
      <c r="L634" s="420"/>
      <c r="M634" s="420"/>
      <c r="N634" s="420"/>
      <c r="O634" s="420"/>
      <c r="P634" s="420"/>
      <c r="Q634" s="420"/>
      <c r="R634" s="420"/>
      <c r="S634" s="420"/>
      <c r="T634" s="420"/>
      <c r="U634" s="420"/>
      <c r="V634" s="420"/>
      <c r="W634" s="420"/>
      <c r="X634" s="420"/>
      <c r="Y634" s="420"/>
      <c r="Z634" s="383"/>
    </row>
    <row r="635" spans="1:26" ht="15">
      <c r="A635" s="420"/>
      <c r="B635" s="420"/>
      <c r="C635" s="420"/>
      <c r="D635" s="420"/>
      <c r="E635" s="420"/>
      <c r="F635" s="420"/>
      <c r="G635" s="420"/>
      <c r="H635" s="420"/>
      <c r="I635" s="420"/>
      <c r="J635" s="420"/>
      <c r="K635" s="420"/>
      <c r="L635" s="420"/>
      <c r="M635" s="420"/>
      <c r="N635" s="420"/>
      <c r="O635" s="420"/>
      <c r="P635" s="420"/>
      <c r="Q635" s="420"/>
      <c r="R635" s="420"/>
      <c r="S635" s="420"/>
      <c r="T635" s="420"/>
      <c r="U635" s="420"/>
      <c r="V635" s="420"/>
      <c r="W635" s="420"/>
      <c r="X635" s="420"/>
      <c r="Y635" s="420"/>
      <c r="Z635" s="383"/>
    </row>
    <row r="636" spans="1:26" ht="15">
      <c r="A636" s="420"/>
      <c r="B636" s="420"/>
      <c r="C636" s="420"/>
      <c r="D636" s="420"/>
      <c r="E636" s="420"/>
      <c r="F636" s="420"/>
      <c r="G636" s="420"/>
      <c r="H636" s="420"/>
      <c r="I636" s="420"/>
      <c r="J636" s="420"/>
      <c r="K636" s="420"/>
      <c r="L636" s="420"/>
      <c r="M636" s="420"/>
      <c r="N636" s="420"/>
      <c r="O636" s="420"/>
      <c r="P636" s="420"/>
      <c r="Q636" s="420"/>
      <c r="R636" s="420"/>
      <c r="S636" s="420"/>
      <c r="T636" s="420"/>
      <c r="U636" s="420"/>
      <c r="V636" s="420"/>
      <c r="W636" s="420"/>
      <c r="X636" s="420"/>
      <c r="Y636" s="420"/>
      <c r="Z636" s="383"/>
    </row>
    <row r="637" spans="1:26" ht="15">
      <c r="A637" s="420"/>
      <c r="B637" s="420"/>
      <c r="C637" s="420"/>
      <c r="D637" s="420"/>
      <c r="E637" s="420"/>
      <c r="F637" s="420"/>
      <c r="G637" s="420"/>
      <c r="H637" s="420"/>
      <c r="I637" s="420"/>
      <c r="J637" s="420"/>
      <c r="K637" s="420"/>
      <c r="L637" s="420"/>
      <c r="M637" s="420"/>
      <c r="N637" s="420"/>
      <c r="O637" s="420"/>
      <c r="P637" s="420"/>
      <c r="Q637" s="420"/>
      <c r="R637" s="420"/>
      <c r="S637" s="420"/>
      <c r="T637" s="420"/>
      <c r="U637" s="420"/>
      <c r="V637" s="420"/>
      <c r="W637" s="420"/>
      <c r="X637" s="420"/>
      <c r="Y637" s="420"/>
      <c r="Z637" s="383"/>
    </row>
    <row r="638" spans="1:26" ht="15">
      <c r="A638" s="420"/>
      <c r="B638" s="420"/>
      <c r="C638" s="420"/>
      <c r="D638" s="420"/>
      <c r="E638" s="420"/>
      <c r="F638" s="420"/>
      <c r="G638" s="420"/>
      <c r="H638" s="420"/>
      <c r="I638" s="420"/>
      <c r="J638" s="420"/>
      <c r="K638" s="420"/>
      <c r="L638" s="420"/>
      <c r="M638" s="420"/>
      <c r="N638" s="420"/>
      <c r="O638" s="420"/>
      <c r="P638" s="420"/>
      <c r="Q638" s="420"/>
      <c r="R638" s="420"/>
      <c r="S638" s="420"/>
      <c r="T638" s="420"/>
      <c r="U638" s="420"/>
      <c r="V638" s="420"/>
      <c r="W638" s="420"/>
      <c r="X638" s="420"/>
      <c r="Y638" s="420"/>
      <c r="Z638" s="383"/>
    </row>
    <row r="639" spans="1:26" ht="15">
      <c r="A639" s="420"/>
      <c r="B639" s="420"/>
      <c r="C639" s="420"/>
      <c r="D639" s="420"/>
      <c r="E639" s="420"/>
      <c r="F639" s="420"/>
      <c r="G639" s="420"/>
      <c r="H639" s="420"/>
      <c r="I639" s="420"/>
      <c r="J639" s="420"/>
      <c r="K639" s="420"/>
      <c r="L639" s="420"/>
      <c r="M639" s="420"/>
      <c r="N639" s="420"/>
      <c r="O639" s="420"/>
      <c r="P639" s="420"/>
      <c r="Q639" s="420"/>
      <c r="R639" s="420"/>
      <c r="S639" s="420"/>
      <c r="T639" s="420"/>
      <c r="U639" s="420"/>
      <c r="V639" s="420"/>
      <c r="W639" s="420"/>
      <c r="X639" s="420"/>
      <c r="Y639" s="420"/>
      <c r="Z639" s="383"/>
    </row>
    <row r="640" spans="1:26" ht="15">
      <c r="A640" s="420"/>
      <c r="B640" s="420"/>
      <c r="C640" s="420"/>
      <c r="D640" s="420"/>
      <c r="E640" s="420"/>
      <c r="F640" s="420"/>
      <c r="G640" s="420"/>
      <c r="H640" s="420"/>
      <c r="I640" s="420"/>
      <c r="J640" s="420"/>
      <c r="K640" s="420"/>
      <c r="L640" s="420"/>
      <c r="M640" s="420"/>
      <c r="N640" s="420"/>
      <c r="O640" s="420"/>
      <c r="P640" s="420"/>
      <c r="Q640" s="420"/>
      <c r="R640" s="420"/>
      <c r="S640" s="420"/>
      <c r="T640" s="420"/>
      <c r="U640" s="420"/>
      <c r="V640" s="420"/>
      <c r="W640" s="420"/>
      <c r="X640" s="420"/>
      <c r="Y640" s="420"/>
      <c r="Z640" s="383"/>
    </row>
    <row r="641" spans="1:26" ht="15">
      <c r="A641" s="420"/>
      <c r="B641" s="420"/>
      <c r="C641" s="420"/>
      <c r="D641" s="420"/>
      <c r="E641" s="420"/>
      <c r="F641" s="420"/>
      <c r="G641" s="420"/>
      <c r="H641" s="420"/>
      <c r="I641" s="420"/>
      <c r="J641" s="420"/>
      <c r="K641" s="420"/>
      <c r="L641" s="420"/>
      <c r="M641" s="420"/>
      <c r="N641" s="420"/>
      <c r="O641" s="420"/>
      <c r="P641" s="420"/>
      <c r="Q641" s="420"/>
      <c r="R641" s="420"/>
      <c r="S641" s="420"/>
      <c r="T641" s="420"/>
      <c r="U641" s="420"/>
      <c r="V641" s="420"/>
      <c r="W641" s="420"/>
      <c r="X641" s="420"/>
      <c r="Y641" s="420"/>
      <c r="Z641" s="383"/>
    </row>
    <row r="642" spans="1:26" ht="15">
      <c r="A642" s="420"/>
      <c r="B642" s="420"/>
      <c r="C642" s="420"/>
      <c r="D642" s="420"/>
      <c r="E642" s="420"/>
      <c r="F642" s="420"/>
      <c r="G642" s="420"/>
      <c r="H642" s="420"/>
      <c r="I642" s="420"/>
      <c r="J642" s="420"/>
      <c r="K642" s="420"/>
      <c r="L642" s="420"/>
      <c r="M642" s="420"/>
      <c r="N642" s="420"/>
      <c r="O642" s="420"/>
      <c r="P642" s="420"/>
      <c r="Q642" s="420"/>
      <c r="R642" s="420"/>
      <c r="S642" s="420"/>
      <c r="T642" s="420"/>
      <c r="U642" s="420"/>
      <c r="V642" s="420"/>
      <c r="W642" s="420"/>
      <c r="X642" s="420"/>
      <c r="Y642" s="420"/>
      <c r="Z642" s="383"/>
    </row>
    <row r="643" spans="1:26" ht="15">
      <c r="A643" s="420"/>
      <c r="B643" s="420"/>
      <c r="C643" s="420"/>
      <c r="D643" s="420"/>
      <c r="E643" s="420"/>
      <c r="F643" s="420"/>
      <c r="G643" s="420"/>
      <c r="H643" s="420"/>
      <c r="I643" s="420"/>
      <c r="J643" s="420"/>
      <c r="K643" s="420"/>
      <c r="L643" s="420"/>
      <c r="M643" s="420"/>
      <c r="N643" s="420"/>
      <c r="O643" s="420"/>
      <c r="P643" s="420"/>
      <c r="Q643" s="420"/>
      <c r="R643" s="420"/>
      <c r="S643" s="420"/>
      <c r="T643" s="420"/>
      <c r="U643" s="420"/>
      <c r="V643" s="420"/>
      <c r="W643" s="420"/>
      <c r="X643" s="420"/>
      <c r="Y643" s="420"/>
      <c r="Z643" s="383"/>
    </row>
    <row r="644" spans="1:26" ht="15">
      <c r="A644" s="420"/>
      <c r="B644" s="420"/>
      <c r="C644" s="420"/>
      <c r="D644" s="420"/>
      <c r="E644" s="420"/>
      <c r="F644" s="420"/>
      <c r="G644" s="420"/>
      <c r="H644" s="420"/>
      <c r="I644" s="420"/>
      <c r="J644" s="420"/>
      <c r="K644" s="420"/>
      <c r="L644" s="420"/>
      <c r="M644" s="420"/>
      <c r="N644" s="420"/>
      <c r="O644" s="420"/>
      <c r="P644" s="420"/>
      <c r="Q644" s="420"/>
      <c r="R644" s="420"/>
      <c r="S644" s="420"/>
      <c r="T644" s="420"/>
      <c r="U644" s="420"/>
      <c r="V644" s="420"/>
      <c r="W644" s="420"/>
      <c r="X644" s="420"/>
      <c r="Y644" s="420"/>
      <c r="Z644" s="383"/>
    </row>
    <row r="645" spans="1:26" ht="15">
      <c r="A645" s="420"/>
      <c r="B645" s="420"/>
      <c r="C645" s="420"/>
      <c r="D645" s="420"/>
      <c r="E645" s="420"/>
      <c r="F645" s="420"/>
      <c r="G645" s="420"/>
      <c r="H645" s="420"/>
      <c r="I645" s="420"/>
      <c r="J645" s="420"/>
      <c r="K645" s="420"/>
      <c r="L645" s="420"/>
      <c r="M645" s="420"/>
      <c r="N645" s="420"/>
      <c r="O645" s="420"/>
      <c r="P645" s="420"/>
      <c r="Q645" s="420"/>
      <c r="R645" s="420"/>
      <c r="S645" s="420"/>
      <c r="T645" s="420"/>
      <c r="U645" s="420"/>
      <c r="V645" s="420"/>
      <c r="W645" s="420"/>
      <c r="X645" s="420"/>
      <c r="Y645" s="420"/>
      <c r="Z645" s="383"/>
    </row>
    <row r="646" spans="1:26" ht="15">
      <c r="A646" s="420"/>
      <c r="B646" s="420"/>
      <c r="C646" s="420"/>
      <c r="D646" s="420"/>
      <c r="E646" s="420"/>
      <c r="F646" s="420"/>
      <c r="G646" s="420"/>
      <c r="H646" s="420"/>
      <c r="I646" s="420"/>
      <c r="J646" s="420"/>
      <c r="K646" s="420"/>
      <c r="L646" s="420"/>
      <c r="M646" s="420"/>
      <c r="N646" s="420"/>
      <c r="O646" s="420"/>
      <c r="P646" s="420"/>
      <c r="Q646" s="420"/>
      <c r="R646" s="420"/>
      <c r="S646" s="420"/>
      <c r="T646" s="420"/>
      <c r="U646" s="420"/>
      <c r="V646" s="420"/>
      <c r="W646" s="420"/>
      <c r="X646" s="420"/>
      <c r="Y646" s="420"/>
      <c r="Z646" s="383"/>
    </row>
    <row r="647" spans="1:26" ht="15">
      <c r="A647" s="420"/>
      <c r="B647" s="420"/>
      <c r="C647" s="420"/>
      <c r="D647" s="420"/>
      <c r="E647" s="420"/>
      <c r="F647" s="420"/>
      <c r="G647" s="420"/>
      <c r="H647" s="420"/>
      <c r="I647" s="420"/>
      <c r="J647" s="420"/>
      <c r="K647" s="420"/>
      <c r="L647" s="420"/>
      <c r="M647" s="420"/>
      <c r="N647" s="420"/>
      <c r="O647" s="420"/>
      <c r="P647" s="420"/>
      <c r="Q647" s="420"/>
      <c r="R647" s="420"/>
      <c r="S647" s="420"/>
      <c r="T647" s="420"/>
      <c r="U647" s="420"/>
      <c r="V647" s="420"/>
      <c r="W647" s="420"/>
      <c r="X647" s="420"/>
      <c r="Y647" s="420"/>
      <c r="Z647" s="383"/>
    </row>
    <row r="648" spans="1:26" ht="15">
      <c r="A648" s="420"/>
      <c r="B648" s="420"/>
      <c r="C648" s="420"/>
      <c r="D648" s="420"/>
      <c r="E648" s="420"/>
      <c r="F648" s="420"/>
      <c r="G648" s="420"/>
      <c r="H648" s="420"/>
      <c r="I648" s="420"/>
      <c r="J648" s="420"/>
      <c r="K648" s="420"/>
      <c r="L648" s="420"/>
      <c r="M648" s="420"/>
      <c r="N648" s="420"/>
      <c r="O648" s="420"/>
      <c r="P648" s="420"/>
      <c r="Q648" s="420"/>
      <c r="R648" s="420"/>
      <c r="S648" s="420"/>
      <c r="T648" s="420"/>
      <c r="U648" s="420"/>
      <c r="V648" s="420"/>
      <c r="W648" s="420"/>
      <c r="X648" s="420"/>
      <c r="Y648" s="420"/>
      <c r="Z648" s="383"/>
    </row>
    <row r="649" spans="1:26" ht="15">
      <c r="A649" s="420"/>
      <c r="B649" s="420"/>
      <c r="C649" s="420"/>
      <c r="D649" s="420"/>
      <c r="E649" s="420"/>
      <c r="F649" s="420"/>
      <c r="G649" s="420"/>
      <c r="H649" s="420"/>
      <c r="I649" s="420"/>
      <c r="J649" s="420"/>
      <c r="K649" s="420"/>
      <c r="L649" s="420"/>
      <c r="M649" s="420"/>
      <c r="N649" s="420"/>
      <c r="O649" s="420"/>
      <c r="P649" s="420"/>
      <c r="Q649" s="420"/>
      <c r="R649" s="420"/>
      <c r="S649" s="420"/>
      <c r="T649" s="420"/>
      <c r="U649" s="420"/>
      <c r="V649" s="420"/>
      <c r="W649" s="420"/>
      <c r="X649" s="420"/>
      <c r="Y649" s="420"/>
      <c r="Z649" s="383"/>
    </row>
    <row r="650" spans="1:26" ht="15">
      <c r="A650" s="420"/>
      <c r="B650" s="420"/>
      <c r="C650" s="420"/>
      <c r="D650" s="420"/>
      <c r="E650" s="420"/>
      <c r="F650" s="420"/>
      <c r="G650" s="420"/>
      <c r="H650" s="420"/>
      <c r="I650" s="420"/>
      <c r="J650" s="420"/>
      <c r="K650" s="420"/>
      <c r="L650" s="420"/>
      <c r="M650" s="420"/>
      <c r="N650" s="420"/>
      <c r="O650" s="420"/>
      <c r="P650" s="420"/>
      <c r="Q650" s="420"/>
      <c r="R650" s="420"/>
      <c r="S650" s="420"/>
      <c r="T650" s="420"/>
      <c r="U650" s="420"/>
      <c r="V650" s="420"/>
      <c r="W650" s="420"/>
      <c r="X650" s="420"/>
      <c r="Y650" s="420"/>
      <c r="Z650" s="383"/>
    </row>
    <row r="651" spans="1:26" ht="15">
      <c r="A651" s="420"/>
      <c r="B651" s="420"/>
      <c r="C651" s="420"/>
      <c r="D651" s="420"/>
      <c r="E651" s="420"/>
      <c r="F651" s="420"/>
      <c r="G651" s="420"/>
      <c r="H651" s="420"/>
      <c r="I651" s="420"/>
      <c r="J651" s="420"/>
      <c r="K651" s="420"/>
      <c r="L651" s="420"/>
      <c r="M651" s="420"/>
      <c r="N651" s="420"/>
      <c r="O651" s="420"/>
      <c r="P651" s="420"/>
      <c r="Q651" s="420"/>
      <c r="R651" s="420"/>
      <c r="S651" s="420"/>
      <c r="T651" s="420"/>
      <c r="U651" s="420"/>
      <c r="V651" s="420"/>
      <c r="W651" s="420"/>
      <c r="X651" s="420"/>
      <c r="Y651" s="420"/>
      <c r="Z651" s="383"/>
    </row>
    <row r="652" spans="1:26" ht="15">
      <c r="A652" s="420"/>
      <c r="B652" s="420"/>
      <c r="C652" s="420"/>
      <c r="D652" s="420"/>
      <c r="E652" s="420"/>
      <c r="F652" s="420"/>
      <c r="G652" s="420"/>
      <c r="H652" s="420"/>
      <c r="I652" s="420"/>
      <c r="J652" s="420"/>
      <c r="K652" s="420"/>
      <c r="L652" s="420"/>
      <c r="M652" s="420"/>
      <c r="N652" s="420"/>
      <c r="O652" s="420"/>
      <c r="P652" s="420"/>
      <c r="Q652" s="420"/>
      <c r="R652" s="420"/>
      <c r="S652" s="420"/>
      <c r="T652" s="420"/>
      <c r="U652" s="420"/>
      <c r="V652" s="420"/>
      <c r="W652" s="420"/>
      <c r="X652" s="420"/>
      <c r="Y652" s="420"/>
      <c r="Z652" s="383"/>
    </row>
    <row r="653" spans="1:26" ht="15">
      <c r="A653" s="420"/>
      <c r="B653" s="420"/>
      <c r="C653" s="420"/>
      <c r="D653" s="420"/>
      <c r="E653" s="420"/>
      <c r="F653" s="420"/>
      <c r="G653" s="420"/>
      <c r="H653" s="420"/>
      <c r="I653" s="420"/>
      <c r="J653" s="420"/>
      <c r="K653" s="420"/>
      <c r="L653" s="420"/>
      <c r="M653" s="420"/>
      <c r="N653" s="420"/>
      <c r="O653" s="420"/>
      <c r="P653" s="420"/>
      <c r="Q653" s="420"/>
      <c r="R653" s="420"/>
      <c r="S653" s="420"/>
      <c r="T653" s="420"/>
      <c r="U653" s="420"/>
      <c r="V653" s="420"/>
      <c r="W653" s="420"/>
      <c r="X653" s="420"/>
      <c r="Y653" s="420"/>
      <c r="Z653" s="383"/>
    </row>
    <row r="654" spans="1:26" ht="15">
      <c r="A654" s="420"/>
      <c r="B654" s="420"/>
      <c r="C654" s="420"/>
      <c r="D654" s="420"/>
      <c r="E654" s="420"/>
      <c r="F654" s="420"/>
      <c r="G654" s="420"/>
      <c r="H654" s="420"/>
      <c r="I654" s="420"/>
      <c r="J654" s="420"/>
      <c r="K654" s="420"/>
      <c r="L654" s="420"/>
      <c r="M654" s="420"/>
      <c r="N654" s="420"/>
      <c r="O654" s="420"/>
      <c r="P654" s="420"/>
      <c r="Q654" s="420"/>
      <c r="R654" s="420"/>
      <c r="S654" s="420"/>
      <c r="T654" s="420"/>
      <c r="U654" s="420"/>
      <c r="V654" s="420"/>
      <c r="W654" s="420"/>
      <c r="X654" s="420"/>
      <c r="Y654" s="420"/>
      <c r="Z654" s="383"/>
    </row>
    <row r="655" spans="1:26" ht="15">
      <c r="A655" s="420"/>
      <c r="B655" s="420"/>
      <c r="C655" s="420"/>
      <c r="D655" s="420"/>
      <c r="E655" s="420"/>
      <c r="F655" s="420"/>
      <c r="G655" s="420"/>
      <c r="H655" s="420"/>
      <c r="I655" s="420"/>
      <c r="J655" s="420"/>
      <c r="K655" s="420"/>
      <c r="L655" s="420"/>
      <c r="M655" s="420"/>
      <c r="N655" s="420"/>
      <c r="O655" s="420"/>
      <c r="P655" s="420"/>
      <c r="Q655" s="420"/>
      <c r="R655" s="420"/>
      <c r="S655" s="420"/>
      <c r="T655" s="420"/>
      <c r="U655" s="420"/>
      <c r="V655" s="420"/>
      <c r="W655" s="420"/>
      <c r="X655" s="420"/>
      <c r="Y655" s="420"/>
      <c r="Z655" s="383"/>
    </row>
    <row r="656" spans="1:26" ht="15">
      <c r="A656" s="420"/>
      <c r="B656" s="420"/>
      <c r="C656" s="420"/>
      <c r="D656" s="420"/>
      <c r="E656" s="420"/>
      <c r="F656" s="420"/>
      <c r="G656" s="420"/>
      <c r="H656" s="420"/>
      <c r="I656" s="420"/>
      <c r="J656" s="420"/>
      <c r="K656" s="420"/>
      <c r="L656" s="420"/>
      <c r="M656" s="420"/>
      <c r="N656" s="420"/>
      <c r="O656" s="420"/>
      <c r="P656" s="420"/>
      <c r="Q656" s="420"/>
      <c r="R656" s="420"/>
      <c r="S656" s="420"/>
      <c r="T656" s="420"/>
      <c r="U656" s="420"/>
      <c r="V656" s="420"/>
      <c r="W656" s="420"/>
      <c r="X656" s="420"/>
      <c r="Y656" s="420"/>
      <c r="Z656" s="383"/>
    </row>
    <row r="657" spans="1:26" ht="15">
      <c r="A657" s="420"/>
      <c r="B657" s="420"/>
      <c r="C657" s="420"/>
      <c r="D657" s="420"/>
      <c r="E657" s="420"/>
      <c r="F657" s="420"/>
      <c r="G657" s="420"/>
      <c r="H657" s="420"/>
      <c r="I657" s="420"/>
      <c r="J657" s="420"/>
      <c r="K657" s="420"/>
      <c r="L657" s="420"/>
      <c r="M657" s="420"/>
      <c r="N657" s="420"/>
      <c r="O657" s="420"/>
      <c r="P657" s="420"/>
      <c r="Q657" s="420"/>
      <c r="R657" s="420"/>
      <c r="S657" s="420"/>
      <c r="T657" s="420"/>
      <c r="U657" s="420"/>
      <c r="V657" s="420"/>
      <c r="W657" s="420"/>
      <c r="X657" s="420"/>
      <c r="Y657" s="420"/>
      <c r="Z657" s="383"/>
    </row>
    <row r="658" spans="1:26" ht="15">
      <c r="A658" s="420"/>
      <c r="B658" s="420"/>
      <c r="C658" s="420"/>
      <c r="D658" s="420"/>
      <c r="E658" s="420"/>
      <c r="F658" s="420"/>
      <c r="G658" s="420"/>
      <c r="H658" s="420"/>
      <c r="I658" s="420"/>
      <c r="J658" s="420"/>
      <c r="K658" s="420"/>
      <c r="L658" s="420"/>
      <c r="M658" s="420"/>
      <c r="N658" s="420"/>
      <c r="O658" s="420"/>
      <c r="P658" s="420"/>
      <c r="Q658" s="420"/>
      <c r="R658" s="420"/>
      <c r="S658" s="420"/>
      <c r="T658" s="420"/>
      <c r="U658" s="420"/>
      <c r="V658" s="420"/>
      <c r="W658" s="420"/>
      <c r="X658" s="420"/>
      <c r="Y658" s="420"/>
      <c r="Z658" s="383"/>
    </row>
    <row r="659" spans="1:26" ht="15">
      <c r="A659" s="420"/>
      <c r="B659" s="420"/>
      <c r="C659" s="420"/>
      <c r="D659" s="420"/>
      <c r="E659" s="420"/>
      <c r="F659" s="420"/>
      <c r="G659" s="420"/>
      <c r="H659" s="420"/>
      <c r="I659" s="420"/>
      <c r="J659" s="420"/>
      <c r="K659" s="420"/>
      <c r="L659" s="420"/>
      <c r="M659" s="420"/>
      <c r="N659" s="420"/>
      <c r="O659" s="420"/>
      <c r="P659" s="420"/>
      <c r="Q659" s="420"/>
      <c r="R659" s="420"/>
      <c r="S659" s="420"/>
      <c r="T659" s="420"/>
      <c r="U659" s="420"/>
      <c r="V659" s="420"/>
      <c r="W659" s="420"/>
      <c r="X659" s="420"/>
      <c r="Y659" s="420"/>
      <c r="Z659" s="383"/>
    </row>
    <row r="660" spans="1:26" ht="15">
      <c r="A660" s="420"/>
      <c r="B660" s="420"/>
      <c r="C660" s="420"/>
      <c r="D660" s="420"/>
      <c r="E660" s="420"/>
      <c r="F660" s="420"/>
      <c r="G660" s="420"/>
      <c r="H660" s="420"/>
      <c r="I660" s="420"/>
      <c r="J660" s="420"/>
      <c r="K660" s="420"/>
      <c r="L660" s="420"/>
      <c r="M660" s="420"/>
      <c r="N660" s="420"/>
      <c r="O660" s="420"/>
      <c r="P660" s="420"/>
      <c r="Q660" s="420"/>
      <c r="R660" s="420"/>
      <c r="S660" s="420"/>
      <c r="T660" s="420"/>
      <c r="U660" s="420"/>
      <c r="V660" s="420"/>
      <c r="W660" s="420"/>
      <c r="X660" s="420"/>
      <c r="Y660" s="420"/>
      <c r="Z660" s="383"/>
    </row>
    <row r="661" spans="1:26" ht="15">
      <c r="A661" s="420"/>
      <c r="B661" s="420"/>
      <c r="C661" s="420"/>
      <c r="D661" s="420"/>
      <c r="E661" s="420"/>
      <c r="F661" s="420"/>
      <c r="G661" s="420"/>
      <c r="H661" s="420"/>
      <c r="I661" s="420"/>
      <c r="J661" s="420"/>
      <c r="K661" s="420"/>
      <c r="L661" s="420"/>
      <c r="M661" s="420"/>
      <c r="N661" s="420"/>
      <c r="O661" s="420"/>
      <c r="P661" s="420"/>
      <c r="Q661" s="420"/>
      <c r="R661" s="420"/>
      <c r="S661" s="420"/>
      <c r="T661" s="420"/>
      <c r="U661" s="420"/>
      <c r="V661" s="420"/>
      <c r="W661" s="420"/>
      <c r="X661" s="420"/>
      <c r="Y661" s="420"/>
      <c r="Z661" s="383"/>
    </row>
    <row r="662" spans="1:26" ht="15">
      <c r="A662" s="420"/>
      <c r="B662" s="420"/>
      <c r="C662" s="420"/>
      <c r="D662" s="420"/>
      <c r="E662" s="420"/>
      <c r="F662" s="420"/>
      <c r="G662" s="420"/>
      <c r="H662" s="420"/>
      <c r="I662" s="420"/>
      <c r="J662" s="420"/>
      <c r="K662" s="420"/>
      <c r="L662" s="420"/>
      <c r="M662" s="420"/>
      <c r="N662" s="420"/>
      <c r="O662" s="420"/>
      <c r="P662" s="420"/>
      <c r="Q662" s="420"/>
      <c r="R662" s="420"/>
      <c r="S662" s="420"/>
      <c r="T662" s="420"/>
      <c r="U662" s="420"/>
      <c r="V662" s="420"/>
      <c r="W662" s="420"/>
      <c r="X662" s="420"/>
      <c r="Y662" s="420"/>
      <c r="Z662" s="383"/>
    </row>
    <row r="663" spans="1:26" ht="15">
      <c r="A663" s="420"/>
      <c r="B663" s="420"/>
      <c r="C663" s="420"/>
      <c r="D663" s="420"/>
      <c r="E663" s="420"/>
      <c r="F663" s="420"/>
      <c r="G663" s="420"/>
      <c r="H663" s="420"/>
      <c r="I663" s="420"/>
      <c r="J663" s="420"/>
      <c r="K663" s="420"/>
      <c r="L663" s="420"/>
      <c r="M663" s="420"/>
      <c r="N663" s="420"/>
      <c r="O663" s="420"/>
      <c r="P663" s="420"/>
      <c r="Q663" s="420"/>
      <c r="R663" s="420"/>
      <c r="S663" s="420"/>
      <c r="T663" s="420"/>
      <c r="U663" s="420"/>
      <c r="V663" s="420"/>
      <c r="W663" s="420"/>
      <c r="X663" s="420"/>
      <c r="Y663" s="420"/>
      <c r="Z663" s="383"/>
    </row>
    <row r="664" spans="1:26" ht="15">
      <c r="A664" s="420"/>
      <c r="B664" s="420"/>
      <c r="C664" s="420"/>
      <c r="D664" s="420"/>
      <c r="E664" s="420"/>
      <c r="F664" s="420"/>
      <c r="G664" s="420"/>
      <c r="H664" s="420"/>
      <c r="I664" s="420"/>
      <c r="J664" s="420"/>
      <c r="K664" s="420"/>
      <c r="L664" s="420"/>
      <c r="M664" s="420"/>
      <c r="N664" s="420"/>
      <c r="O664" s="420"/>
      <c r="P664" s="420"/>
      <c r="Q664" s="420"/>
      <c r="R664" s="420"/>
      <c r="S664" s="420"/>
      <c r="T664" s="420"/>
      <c r="U664" s="420"/>
      <c r="V664" s="420"/>
      <c r="W664" s="420"/>
      <c r="X664" s="420"/>
      <c r="Y664" s="420"/>
      <c r="Z664" s="383"/>
    </row>
    <row r="665" spans="1:26" ht="15">
      <c r="A665" s="420"/>
      <c r="B665" s="420"/>
      <c r="C665" s="420"/>
      <c r="D665" s="420"/>
      <c r="E665" s="420"/>
      <c r="F665" s="420"/>
      <c r="G665" s="420"/>
      <c r="H665" s="420"/>
      <c r="I665" s="420"/>
      <c r="J665" s="420"/>
      <c r="K665" s="420"/>
      <c r="L665" s="420"/>
      <c r="M665" s="420"/>
      <c r="N665" s="420"/>
      <c r="O665" s="420"/>
      <c r="P665" s="420"/>
      <c r="Q665" s="420"/>
      <c r="R665" s="420"/>
      <c r="S665" s="420"/>
      <c r="T665" s="420"/>
      <c r="U665" s="420"/>
      <c r="V665" s="420"/>
      <c r="W665" s="420"/>
      <c r="X665" s="420"/>
      <c r="Y665" s="420"/>
      <c r="Z665" s="383"/>
    </row>
    <row r="666" spans="1:26" ht="15">
      <c r="A666" s="420"/>
      <c r="B666" s="420"/>
      <c r="C666" s="420"/>
      <c r="D666" s="420"/>
      <c r="E666" s="420"/>
      <c r="F666" s="420"/>
      <c r="G666" s="420"/>
      <c r="H666" s="420"/>
      <c r="I666" s="420"/>
      <c r="J666" s="420"/>
      <c r="K666" s="420"/>
      <c r="L666" s="420"/>
      <c r="M666" s="420"/>
      <c r="N666" s="420"/>
      <c r="O666" s="420"/>
      <c r="P666" s="420"/>
      <c r="Q666" s="420"/>
      <c r="R666" s="420"/>
      <c r="S666" s="420"/>
      <c r="T666" s="420"/>
      <c r="U666" s="420"/>
      <c r="V666" s="420"/>
      <c r="W666" s="420"/>
      <c r="X666" s="420"/>
      <c r="Y666" s="420"/>
      <c r="Z666" s="383"/>
    </row>
    <row r="667" spans="1:26" ht="15">
      <c r="A667" s="420"/>
      <c r="B667" s="420"/>
      <c r="C667" s="420"/>
      <c r="D667" s="420"/>
      <c r="E667" s="420"/>
      <c r="F667" s="420"/>
      <c r="G667" s="420"/>
      <c r="H667" s="420"/>
      <c r="I667" s="420"/>
      <c r="J667" s="420"/>
      <c r="K667" s="420"/>
      <c r="L667" s="420"/>
      <c r="M667" s="420"/>
      <c r="N667" s="420"/>
      <c r="O667" s="420"/>
      <c r="P667" s="420"/>
      <c r="Q667" s="420"/>
      <c r="R667" s="420"/>
      <c r="S667" s="420"/>
      <c r="T667" s="420"/>
      <c r="U667" s="420"/>
      <c r="V667" s="420"/>
      <c r="W667" s="420"/>
      <c r="X667" s="420"/>
      <c r="Y667" s="420"/>
      <c r="Z667" s="383"/>
    </row>
    <row r="668" spans="1:26" ht="15">
      <c r="A668" s="420"/>
      <c r="B668" s="420"/>
      <c r="C668" s="420"/>
      <c r="D668" s="420"/>
      <c r="E668" s="420"/>
      <c r="F668" s="420"/>
      <c r="G668" s="420"/>
      <c r="H668" s="420"/>
      <c r="I668" s="420"/>
      <c r="J668" s="420"/>
      <c r="K668" s="420"/>
      <c r="L668" s="420"/>
      <c r="M668" s="420"/>
      <c r="N668" s="420"/>
      <c r="O668" s="420"/>
      <c r="P668" s="420"/>
      <c r="Q668" s="420"/>
      <c r="R668" s="420"/>
      <c r="S668" s="420"/>
      <c r="T668" s="420"/>
      <c r="U668" s="420"/>
      <c r="V668" s="420"/>
      <c r="W668" s="420"/>
      <c r="X668" s="420"/>
      <c r="Y668" s="420"/>
      <c r="Z668" s="383"/>
    </row>
    <row r="669" spans="1:26" ht="15">
      <c r="A669" s="420"/>
      <c r="B669" s="420"/>
      <c r="C669" s="420"/>
      <c r="D669" s="420"/>
      <c r="E669" s="420"/>
      <c r="F669" s="420"/>
      <c r="G669" s="420"/>
      <c r="H669" s="420"/>
      <c r="I669" s="420"/>
      <c r="J669" s="420"/>
      <c r="K669" s="420"/>
      <c r="L669" s="420"/>
      <c r="M669" s="420"/>
      <c r="N669" s="420"/>
      <c r="O669" s="420"/>
      <c r="P669" s="420"/>
      <c r="Q669" s="420"/>
      <c r="R669" s="420"/>
      <c r="S669" s="420"/>
      <c r="T669" s="420"/>
      <c r="U669" s="420"/>
      <c r="V669" s="420"/>
      <c r="W669" s="420"/>
      <c r="X669" s="420"/>
      <c r="Y669" s="420"/>
      <c r="Z669" s="383"/>
    </row>
    <row r="670" spans="1:26" ht="15">
      <c r="A670" s="420"/>
      <c r="B670" s="420"/>
      <c r="C670" s="420"/>
      <c r="D670" s="420"/>
      <c r="E670" s="420"/>
      <c r="F670" s="420"/>
      <c r="G670" s="420"/>
      <c r="H670" s="420"/>
      <c r="I670" s="420"/>
      <c r="J670" s="420"/>
      <c r="K670" s="420"/>
      <c r="L670" s="420"/>
      <c r="M670" s="420"/>
      <c r="N670" s="420"/>
      <c r="O670" s="420"/>
      <c r="P670" s="420"/>
      <c r="Q670" s="420"/>
      <c r="R670" s="420"/>
      <c r="S670" s="420"/>
      <c r="T670" s="420"/>
      <c r="U670" s="420"/>
      <c r="V670" s="420"/>
      <c r="W670" s="420"/>
      <c r="X670" s="420"/>
      <c r="Y670" s="420"/>
      <c r="Z670" s="383"/>
    </row>
    <row r="671" spans="1:26" ht="15">
      <c r="A671" s="420"/>
      <c r="B671" s="420"/>
      <c r="C671" s="420"/>
      <c r="D671" s="420"/>
      <c r="E671" s="420"/>
      <c r="F671" s="420"/>
      <c r="G671" s="420"/>
      <c r="H671" s="420"/>
      <c r="I671" s="420"/>
      <c r="J671" s="420"/>
      <c r="K671" s="420"/>
      <c r="L671" s="420"/>
      <c r="M671" s="420"/>
      <c r="N671" s="420"/>
      <c r="O671" s="420"/>
      <c r="P671" s="420"/>
      <c r="Q671" s="420"/>
      <c r="R671" s="420"/>
      <c r="S671" s="420"/>
      <c r="T671" s="420"/>
      <c r="U671" s="420"/>
      <c r="V671" s="420"/>
      <c r="W671" s="420"/>
      <c r="X671" s="420"/>
      <c r="Y671" s="420"/>
      <c r="Z671" s="383"/>
    </row>
    <row r="672" spans="1:26" ht="15">
      <c r="A672" s="420"/>
      <c r="B672" s="420"/>
      <c r="C672" s="420"/>
      <c r="D672" s="420"/>
      <c r="E672" s="420"/>
      <c r="F672" s="420"/>
      <c r="G672" s="420"/>
      <c r="H672" s="420"/>
      <c r="I672" s="420"/>
      <c r="J672" s="420"/>
      <c r="K672" s="420"/>
      <c r="L672" s="420"/>
      <c r="M672" s="420"/>
      <c r="N672" s="420"/>
      <c r="O672" s="420"/>
      <c r="P672" s="420"/>
      <c r="Q672" s="420"/>
      <c r="R672" s="420"/>
      <c r="S672" s="420"/>
      <c r="T672" s="420"/>
      <c r="U672" s="420"/>
      <c r="V672" s="420"/>
      <c r="W672" s="420"/>
      <c r="X672" s="420"/>
      <c r="Y672" s="420"/>
      <c r="Z672" s="383"/>
    </row>
    <row r="673" spans="1:26" ht="15">
      <c r="A673" s="420"/>
      <c r="B673" s="420"/>
      <c r="C673" s="420"/>
      <c r="D673" s="420"/>
      <c r="E673" s="420"/>
      <c r="F673" s="420"/>
      <c r="G673" s="420"/>
      <c r="H673" s="420"/>
      <c r="I673" s="420"/>
      <c r="J673" s="420"/>
      <c r="K673" s="420"/>
      <c r="L673" s="420"/>
      <c r="M673" s="420"/>
      <c r="N673" s="420"/>
      <c r="O673" s="420"/>
      <c r="P673" s="420"/>
      <c r="Q673" s="420"/>
      <c r="R673" s="420"/>
      <c r="S673" s="420"/>
      <c r="T673" s="420"/>
      <c r="U673" s="420"/>
      <c r="V673" s="420"/>
      <c r="W673" s="420"/>
      <c r="X673" s="420"/>
      <c r="Y673" s="420"/>
      <c r="Z673" s="383"/>
    </row>
    <row r="674" spans="1:26" ht="15">
      <c r="A674" s="420"/>
      <c r="B674" s="420"/>
      <c r="C674" s="420"/>
      <c r="D674" s="420"/>
      <c r="E674" s="420"/>
      <c r="F674" s="420"/>
      <c r="G674" s="420"/>
      <c r="H674" s="420"/>
      <c r="I674" s="420"/>
      <c r="J674" s="420"/>
      <c r="K674" s="420"/>
      <c r="L674" s="420"/>
      <c r="M674" s="420"/>
      <c r="N674" s="420"/>
      <c r="O674" s="420"/>
      <c r="P674" s="420"/>
      <c r="Q674" s="420"/>
      <c r="R674" s="420"/>
      <c r="S674" s="420"/>
      <c r="T674" s="420"/>
      <c r="U674" s="420"/>
      <c r="V674" s="420"/>
      <c r="W674" s="420"/>
      <c r="X674" s="420"/>
      <c r="Y674" s="420"/>
      <c r="Z674" s="383"/>
    </row>
    <row r="675" spans="1:26" ht="15">
      <c r="A675" s="420"/>
      <c r="B675" s="420"/>
      <c r="C675" s="420"/>
      <c r="D675" s="420"/>
      <c r="E675" s="420"/>
      <c r="F675" s="420"/>
      <c r="G675" s="420"/>
      <c r="H675" s="420"/>
      <c r="I675" s="420"/>
      <c r="J675" s="420"/>
      <c r="K675" s="420"/>
      <c r="L675" s="420"/>
      <c r="M675" s="420"/>
      <c r="N675" s="420"/>
      <c r="O675" s="420"/>
      <c r="P675" s="420"/>
      <c r="Q675" s="420"/>
      <c r="R675" s="420"/>
      <c r="S675" s="420"/>
      <c r="T675" s="420"/>
      <c r="U675" s="420"/>
      <c r="V675" s="420"/>
      <c r="W675" s="420"/>
      <c r="X675" s="420"/>
      <c r="Y675" s="420"/>
      <c r="Z675" s="383"/>
    </row>
    <row r="676" spans="1:26" ht="15">
      <c r="A676" s="420"/>
      <c r="B676" s="420"/>
      <c r="C676" s="420"/>
      <c r="D676" s="420"/>
      <c r="E676" s="420"/>
      <c r="F676" s="420"/>
      <c r="G676" s="420"/>
      <c r="H676" s="420"/>
      <c r="I676" s="420"/>
      <c r="J676" s="420"/>
      <c r="K676" s="420"/>
      <c r="L676" s="420"/>
      <c r="M676" s="420"/>
      <c r="N676" s="420"/>
      <c r="O676" s="420"/>
      <c r="P676" s="420"/>
      <c r="Q676" s="420"/>
      <c r="R676" s="420"/>
      <c r="S676" s="420"/>
      <c r="T676" s="420"/>
      <c r="U676" s="420"/>
      <c r="V676" s="420"/>
      <c r="W676" s="420"/>
      <c r="X676" s="420"/>
      <c r="Y676" s="420"/>
      <c r="Z676" s="383"/>
    </row>
    <row r="677" spans="1:26" ht="15">
      <c r="A677" s="420"/>
      <c r="B677" s="420"/>
      <c r="C677" s="420"/>
      <c r="D677" s="420"/>
      <c r="E677" s="420"/>
      <c r="F677" s="420"/>
      <c r="G677" s="420"/>
      <c r="H677" s="420"/>
      <c r="I677" s="420"/>
      <c r="J677" s="420"/>
      <c r="K677" s="420"/>
      <c r="L677" s="420"/>
      <c r="M677" s="420"/>
      <c r="N677" s="420"/>
      <c r="O677" s="420"/>
      <c r="P677" s="420"/>
      <c r="Q677" s="420"/>
      <c r="R677" s="420"/>
      <c r="S677" s="420"/>
      <c r="T677" s="420"/>
      <c r="U677" s="420"/>
      <c r="V677" s="420"/>
      <c r="W677" s="420"/>
      <c r="X677" s="420"/>
      <c r="Y677" s="420"/>
      <c r="Z677" s="383"/>
    </row>
    <row r="678" spans="1:26" ht="15">
      <c r="A678" s="420"/>
      <c r="B678" s="420"/>
      <c r="C678" s="420"/>
      <c r="D678" s="420"/>
      <c r="E678" s="420"/>
      <c r="F678" s="420"/>
      <c r="G678" s="420"/>
      <c r="H678" s="420"/>
      <c r="I678" s="420"/>
      <c r="J678" s="420"/>
      <c r="K678" s="420"/>
      <c r="L678" s="420"/>
      <c r="M678" s="420"/>
      <c r="N678" s="420"/>
      <c r="O678" s="420"/>
      <c r="P678" s="420"/>
      <c r="Q678" s="420"/>
      <c r="R678" s="420"/>
      <c r="S678" s="420"/>
      <c r="T678" s="420"/>
      <c r="U678" s="420"/>
      <c r="V678" s="420"/>
      <c r="W678" s="420"/>
      <c r="X678" s="420"/>
      <c r="Y678" s="420"/>
      <c r="Z678" s="383"/>
    </row>
    <row r="679" spans="1:26" ht="15">
      <c r="A679" s="420"/>
      <c r="B679" s="420"/>
      <c r="C679" s="420"/>
      <c r="D679" s="420"/>
      <c r="E679" s="420"/>
      <c r="F679" s="420"/>
      <c r="G679" s="420"/>
      <c r="H679" s="420"/>
      <c r="I679" s="420"/>
      <c r="J679" s="420"/>
      <c r="K679" s="420"/>
      <c r="L679" s="420"/>
      <c r="M679" s="420"/>
      <c r="N679" s="420"/>
      <c r="O679" s="420"/>
      <c r="P679" s="420"/>
      <c r="Q679" s="420"/>
      <c r="R679" s="420"/>
      <c r="S679" s="420"/>
      <c r="T679" s="420"/>
      <c r="U679" s="420"/>
      <c r="V679" s="420"/>
      <c r="W679" s="420"/>
      <c r="X679" s="420"/>
      <c r="Y679" s="420"/>
      <c r="Z679" s="383"/>
    </row>
    <row r="680" spans="1:26" ht="15">
      <c r="A680" s="420"/>
      <c r="B680" s="420"/>
      <c r="C680" s="420"/>
      <c r="D680" s="420"/>
      <c r="E680" s="420"/>
      <c r="F680" s="420"/>
      <c r="G680" s="420"/>
      <c r="H680" s="420"/>
      <c r="I680" s="420"/>
      <c r="J680" s="420"/>
      <c r="K680" s="420"/>
      <c r="L680" s="420"/>
      <c r="M680" s="420"/>
      <c r="N680" s="420"/>
      <c r="O680" s="420"/>
      <c r="P680" s="420"/>
      <c r="Q680" s="420"/>
      <c r="R680" s="420"/>
      <c r="S680" s="420"/>
      <c r="T680" s="420"/>
      <c r="U680" s="420"/>
      <c r="V680" s="420"/>
      <c r="W680" s="420"/>
      <c r="X680" s="420"/>
      <c r="Y680" s="420"/>
      <c r="Z680" s="383"/>
    </row>
    <row r="681" spans="1:26" ht="15">
      <c r="A681" s="420"/>
      <c r="B681" s="420"/>
      <c r="C681" s="420"/>
      <c r="D681" s="420"/>
      <c r="E681" s="420"/>
      <c r="F681" s="420"/>
      <c r="G681" s="420"/>
      <c r="H681" s="420"/>
      <c r="I681" s="420"/>
      <c r="J681" s="420"/>
      <c r="K681" s="420"/>
      <c r="L681" s="420"/>
      <c r="M681" s="420"/>
      <c r="N681" s="420"/>
      <c r="O681" s="420"/>
      <c r="P681" s="420"/>
      <c r="Q681" s="420"/>
      <c r="R681" s="420"/>
      <c r="S681" s="420"/>
      <c r="T681" s="420"/>
      <c r="U681" s="420"/>
      <c r="V681" s="420"/>
      <c r="W681" s="420"/>
      <c r="X681" s="420"/>
      <c r="Y681" s="420"/>
      <c r="Z681" s="383"/>
    </row>
    <row r="682" spans="1:26" ht="15">
      <c r="A682" s="420"/>
      <c r="B682" s="420"/>
      <c r="C682" s="420"/>
      <c r="D682" s="420"/>
      <c r="E682" s="420"/>
      <c r="F682" s="420"/>
      <c r="G682" s="420"/>
      <c r="H682" s="420"/>
      <c r="I682" s="420"/>
      <c r="J682" s="420"/>
      <c r="K682" s="420"/>
      <c r="L682" s="420"/>
      <c r="M682" s="420"/>
      <c r="N682" s="420"/>
      <c r="O682" s="420"/>
      <c r="P682" s="420"/>
      <c r="Q682" s="420"/>
      <c r="R682" s="420"/>
      <c r="S682" s="420"/>
      <c r="T682" s="420"/>
      <c r="U682" s="420"/>
      <c r="V682" s="420"/>
      <c r="W682" s="420"/>
      <c r="X682" s="420"/>
      <c r="Y682" s="420"/>
      <c r="Z682" s="383"/>
    </row>
    <row r="683" spans="1:26" ht="15">
      <c r="A683" s="420"/>
      <c r="B683" s="420"/>
      <c r="C683" s="420"/>
      <c r="D683" s="420"/>
      <c r="E683" s="420"/>
      <c r="F683" s="420"/>
      <c r="G683" s="420"/>
      <c r="H683" s="420"/>
      <c r="I683" s="420"/>
      <c r="J683" s="420"/>
      <c r="K683" s="420"/>
      <c r="L683" s="420"/>
      <c r="M683" s="420"/>
      <c r="N683" s="420"/>
      <c r="O683" s="420"/>
      <c r="P683" s="420"/>
      <c r="Q683" s="420"/>
      <c r="R683" s="420"/>
      <c r="S683" s="420"/>
      <c r="T683" s="420"/>
      <c r="U683" s="420"/>
      <c r="V683" s="420"/>
      <c r="W683" s="420"/>
      <c r="X683" s="420"/>
      <c r="Y683" s="420"/>
      <c r="Z683" s="383"/>
    </row>
    <row r="684" spans="1:26" ht="15">
      <c r="A684" s="420"/>
      <c r="B684" s="420"/>
      <c r="C684" s="420"/>
      <c r="D684" s="420"/>
      <c r="E684" s="420"/>
      <c r="F684" s="420"/>
      <c r="G684" s="420"/>
      <c r="H684" s="420"/>
      <c r="I684" s="420"/>
      <c r="J684" s="420"/>
      <c r="K684" s="420"/>
      <c r="L684" s="420"/>
      <c r="M684" s="420"/>
      <c r="N684" s="420"/>
      <c r="O684" s="420"/>
      <c r="P684" s="420"/>
      <c r="Q684" s="420"/>
      <c r="R684" s="420"/>
      <c r="S684" s="420"/>
      <c r="T684" s="420"/>
      <c r="U684" s="420"/>
      <c r="V684" s="420"/>
      <c r="W684" s="420"/>
      <c r="X684" s="420"/>
      <c r="Y684" s="420"/>
      <c r="Z684" s="383"/>
    </row>
    <row r="685" spans="1:26" ht="15">
      <c r="A685" s="420"/>
      <c r="B685" s="420"/>
      <c r="C685" s="420"/>
      <c r="D685" s="420"/>
      <c r="E685" s="420"/>
      <c r="F685" s="420"/>
      <c r="G685" s="420"/>
      <c r="H685" s="420"/>
      <c r="I685" s="420"/>
      <c r="J685" s="420"/>
      <c r="K685" s="420"/>
      <c r="L685" s="420"/>
      <c r="M685" s="420"/>
      <c r="N685" s="420"/>
      <c r="O685" s="420"/>
      <c r="P685" s="420"/>
      <c r="Q685" s="420"/>
      <c r="R685" s="420"/>
      <c r="S685" s="420"/>
      <c r="T685" s="420"/>
      <c r="U685" s="420"/>
      <c r="V685" s="420"/>
      <c r="W685" s="420"/>
      <c r="X685" s="420"/>
      <c r="Y685" s="420"/>
      <c r="Z685" s="383"/>
    </row>
    <row r="686" spans="1:26" ht="15">
      <c r="A686" s="420"/>
      <c r="B686" s="420"/>
      <c r="C686" s="420"/>
      <c r="D686" s="420"/>
      <c r="E686" s="420"/>
      <c r="F686" s="420"/>
      <c r="G686" s="420"/>
      <c r="H686" s="420"/>
      <c r="I686" s="420"/>
      <c r="J686" s="420"/>
      <c r="K686" s="420"/>
      <c r="L686" s="420"/>
      <c r="M686" s="420"/>
      <c r="N686" s="420"/>
      <c r="O686" s="420"/>
      <c r="P686" s="420"/>
      <c r="Q686" s="420"/>
      <c r="R686" s="420"/>
      <c r="S686" s="420"/>
      <c r="T686" s="420"/>
      <c r="U686" s="420"/>
      <c r="V686" s="420"/>
      <c r="W686" s="420"/>
      <c r="X686" s="420"/>
      <c r="Y686" s="420"/>
      <c r="Z686" s="383"/>
    </row>
    <row r="687" spans="1:26" ht="15">
      <c r="A687" s="420"/>
      <c r="B687" s="420"/>
      <c r="C687" s="420"/>
      <c r="D687" s="420"/>
      <c r="E687" s="420"/>
      <c r="F687" s="420"/>
      <c r="G687" s="420"/>
      <c r="H687" s="420"/>
      <c r="I687" s="420"/>
      <c r="J687" s="420"/>
      <c r="K687" s="420"/>
      <c r="L687" s="420"/>
      <c r="M687" s="420"/>
      <c r="N687" s="420"/>
      <c r="O687" s="420"/>
      <c r="P687" s="420"/>
      <c r="Q687" s="420"/>
      <c r="R687" s="420"/>
      <c r="S687" s="420"/>
      <c r="T687" s="420"/>
      <c r="U687" s="420"/>
      <c r="V687" s="420"/>
      <c r="W687" s="420"/>
      <c r="X687" s="420"/>
      <c r="Y687" s="420"/>
      <c r="Z687" s="383"/>
    </row>
    <row r="688" spans="1:26" ht="15">
      <c r="A688" s="420"/>
      <c r="B688" s="420"/>
      <c r="C688" s="420"/>
      <c r="D688" s="420"/>
      <c r="E688" s="420"/>
      <c r="F688" s="420"/>
      <c r="G688" s="420"/>
      <c r="H688" s="420"/>
      <c r="I688" s="420"/>
      <c r="J688" s="420"/>
      <c r="K688" s="420"/>
      <c r="L688" s="420"/>
      <c r="M688" s="420"/>
      <c r="N688" s="420"/>
      <c r="O688" s="420"/>
      <c r="P688" s="420"/>
      <c r="Q688" s="420"/>
      <c r="R688" s="420"/>
      <c r="S688" s="420"/>
      <c r="T688" s="420"/>
      <c r="U688" s="420"/>
      <c r="V688" s="420"/>
      <c r="W688" s="420"/>
      <c r="X688" s="420"/>
      <c r="Y688" s="420"/>
      <c r="Z688" s="383"/>
    </row>
    <row r="689" spans="1:26" ht="15">
      <c r="A689" s="420"/>
      <c r="B689" s="420"/>
      <c r="C689" s="420"/>
      <c r="D689" s="420"/>
      <c r="E689" s="420"/>
      <c r="F689" s="420"/>
      <c r="G689" s="420"/>
      <c r="H689" s="420"/>
      <c r="I689" s="420"/>
      <c r="J689" s="420"/>
      <c r="K689" s="420"/>
      <c r="L689" s="420"/>
      <c r="M689" s="420"/>
      <c r="N689" s="420"/>
      <c r="O689" s="420"/>
      <c r="P689" s="420"/>
      <c r="Q689" s="420"/>
      <c r="R689" s="420"/>
      <c r="S689" s="420"/>
      <c r="T689" s="420"/>
      <c r="U689" s="420"/>
      <c r="V689" s="420"/>
      <c r="W689" s="420"/>
      <c r="X689" s="420"/>
      <c r="Y689" s="420"/>
      <c r="Z689" s="383"/>
    </row>
    <row r="690" spans="1:26" ht="15">
      <c r="A690" s="420"/>
      <c r="B690" s="420"/>
      <c r="C690" s="420"/>
      <c r="D690" s="420"/>
      <c r="E690" s="420"/>
      <c r="F690" s="420"/>
      <c r="G690" s="420"/>
      <c r="H690" s="420"/>
      <c r="I690" s="420"/>
      <c r="J690" s="420"/>
      <c r="K690" s="420"/>
      <c r="L690" s="420"/>
      <c r="M690" s="420"/>
      <c r="N690" s="420"/>
      <c r="O690" s="420"/>
      <c r="P690" s="420"/>
      <c r="Q690" s="420"/>
      <c r="R690" s="420"/>
      <c r="S690" s="420"/>
      <c r="T690" s="420"/>
      <c r="U690" s="420"/>
      <c r="V690" s="420"/>
      <c r="W690" s="420"/>
      <c r="X690" s="420"/>
      <c r="Y690" s="420"/>
      <c r="Z690" s="383"/>
    </row>
    <row r="691" spans="1:26" ht="15">
      <c r="A691" s="420"/>
      <c r="B691" s="420"/>
      <c r="C691" s="420"/>
      <c r="D691" s="420"/>
      <c r="E691" s="420"/>
      <c r="F691" s="420"/>
      <c r="G691" s="420"/>
      <c r="H691" s="420"/>
      <c r="I691" s="420"/>
      <c r="J691" s="420"/>
      <c r="K691" s="420"/>
      <c r="L691" s="420"/>
      <c r="M691" s="420"/>
      <c r="N691" s="420"/>
      <c r="O691" s="420"/>
      <c r="P691" s="420"/>
      <c r="Q691" s="420"/>
      <c r="R691" s="420"/>
      <c r="S691" s="420"/>
      <c r="T691" s="420"/>
      <c r="U691" s="420"/>
      <c r="V691" s="420"/>
      <c r="W691" s="420"/>
      <c r="X691" s="420"/>
      <c r="Y691" s="420"/>
      <c r="Z691" s="383"/>
    </row>
    <row r="692" spans="1:26" ht="15">
      <c r="A692" s="420"/>
      <c r="B692" s="420"/>
      <c r="C692" s="420"/>
      <c r="D692" s="420"/>
      <c r="E692" s="420"/>
      <c r="F692" s="420"/>
      <c r="G692" s="420"/>
      <c r="H692" s="420"/>
      <c r="I692" s="420"/>
      <c r="J692" s="420"/>
      <c r="K692" s="420"/>
      <c r="L692" s="420"/>
      <c r="M692" s="420"/>
      <c r="N692" s="420"/>
      <c r="O692" s="420"/>
      <c r="P692" s="420"/>
      <c r="Q692" s="420"/>
      <c r="R692" s="420"/>
      <c r="S692" s="420"/>
      <c r="T692" s="420"/>
      <c r="U692" s="420"/>
      <c r="V692" s="420"/>
      <c r="W692" s="420"/>
      <c r="X692" s="420"/>
      <c r="Y692" s="420"/>
      <c r="Z692" s="383"/>
    </row>
    <row r="693" spans="1:26" ht="15">
      <c r="A693" s="420"/>
      <c r="B693" s="420"/>
      <c r="C693" s="420"/>
      <c r="D693" s="420"/>
      <c r="E693" s="420"/>
      <c r="F693" s="420"/>
      <c r="G693" s="420"/>
      <c r="H693" s="420"/>
      <c r="I693" s="420"/>
      <c r="J693" s="420"/>
      <c r="K693" s="420"/>
      <c r="L693" s="420"/>
      <c r="M693" s="420"/>
      <c r="N693" s="420"/>
      <c r="O693" s="420"/>
      <c r="P693" s="420"/>
      <c r="Q693" s="420"/>
      <c r="R693" s="420"/>
      <c r="S693" s="420"/>
      <c r="T693" s="420"/>
      <c r="U693" s="420"/>
      <c r="V693" s="420"/>
      <c r="W693" s="420"/>
      <c r="X693" s="420"/>
      <c r="Y693" s="420"/>
      <c r="Z693" s="383"/>
    </row>
    <row r="694" spans="1:26" ht="15">
      <c r="A694" s="420"/>
      <c r="B694" s="420"/>
      <c r="C694" s="420"/>
      <c r="D694" s="420"/>
      <c r="E694" s="420"/>
      <c r="F694" s="420"/>
      <c r="G694" s="420"/>
      <c r="H694" s="420"/>
      <c r="I694" s="420"/>
      <c r="J694" s="420"/>
      <c r="K694" s="420"/>
      <c r="L694" s="420"/>
      <c r="M694" s="420"/>
      <c r="N694" s="420"/>
      <c r="O694" s="420"/>
      <c r="P694" s="420"/>
      <c r="Q694" s="420"/>
      <c r="R694" s="420"/>
      <c r="S694" s="420"/>
      <c r="T694" s="420"/>
      <c r="U694" s="420"/>
      <c r="V694" s="420"/>
      <c r="W694" s="420"/>
      <c r="X694" s="420"/>
      <c r="Y694" s="420"/>
      <c r="Z694" s="383"/>
    </row>
    <row r="695" spans="1:26" ht="15">
      <c r="A695" s="420"/>
      <c r="B695" s="420"/>
      <c r="C695" s="420"/>
      <c r="D695" s="420"/>
      <c r="E695" s="420"/>
      <c r="F695" s="420"/>
      <c r="G695" s="420"/>
      <c r="H695" s="420"/>
      <c r="I695" s="420"/>
      <c r="J695" s="420"/>
      <c r="K695" s="420"/>
      <c r="L695" s="420"/>
      <c r="M695" s="420"/>
      <c r="N695" s="420"/>
      <c r="O695" s="420"/>
      <c r="P695" s="420"/>
      <c r="Q695" s="420"/>
      <c r="R695" s="420"/>
      <c r="S695" s="420"/>
      <c r="T695" s="420"/>
      <c r="U695" s="420"/>
      <c r="V695" s="420"/>
      <c r="W695" s="420"/>
      <c r="X695" s="420"/>
      <c r="Y695" s="420"/>
      <c r="Z695" s="383"/>
    </row>
    <row r="696" spans="1:26" ht="15">
      <c r="A696" s="420"/>
      <c r="B696" s="420"/>
      <c r="C696" s="420"/>
      <c r="D696" s="420"/>
      <c r="E696" s="420"/>
      <c r="F696" s="420"/>
      <c r="G696" s="420"/>
      <c r="H696" s="420"/>
      <c r="I696" s="420"/>
      <c r="J696" s="420"/>
      <c r="K696" s="420"/>
      <c r="L696" s="420"/>
      <c r="M696" s="420"/>
      <c r="N696" s="420"/>
      <c r="O696" s="420"/>
      <c r="P696" s="420"/>
      <c r="Q696" s="420"/>
      <c r="R696" s="420"/>
      <c r="S696" s="420"/>
      <c r="T696" s="420"/>
      <c r="U696" s="420"/>
      <c r="V696" s="420"/>
      <c r="W696" s="420"/>
      <c r="X696" s="420"/>
      <c r="Y696" s="420"/>
      <c r="Z696" s="383"/>
    </row>
    <row r="697" spans="1:26" ht="15">
      <c r="A697" s="420"/>
      <c r="B697" s="420"/>
      <c r="C697" s="420"/>
      <c r="D697" s="420"/>
      <c r="E697" s="420"/>
      <c r="F697" s="420"/>
      <c r="G697" s="420"/>
      <c r="H697" s="420"/>
      <c r="I697" s="420"/>
      <c r="J697" s="420"/>
      <c r="K697" s="420"/>
      <c r="L697" s="420"/>
      <c r="M697" s="420"/>
      <c r="N697" s="420"/>
      <c r="O697" s="420"/>
      <c r="P697" s="420"/>
      <c r="Q697" s="420"/>
      <c r="R697" s="420"/>
      <c r="S697" s="420"/>
      <c r="T697" s="420"/>
      <c r="U697" s="420"/>
      <c r="V697" s="420"/>
      <c r="W697" s="420"/>
      <c r="X697" s="420"/>
      <c r="Y697" s="420"/>
      <c r="Z697" s="383"/>
    </row>
    <row r="698" spans="1:26" ht="15">
      <c r="A698" s="420"/>
      <c r="B698" s="420"/>
      <c r="C698" s="420"/>
      <c r="D698" s="420"/>
      <c r="E698" s="420"/>
      <c r="F698" s="420"/>
      <c r="G698" s="420"/>
      <c r="H698" s="420"/>
      <c r="I698" s="420"/>
      <c r="J698" s="420"/>
      <c r="K698" s="420"/>
      <c r="L698" s="420"/>
      <c r="M698" s="420"/>
      <c r="N698" s="420"/>
      <c r="O698" s="420"/>
      <c r="P698" s="420"/>
      <c r="Q698" s="420"/>
      <c r="R698" s="420"/>
      <c r="S698" s="420"/>
      <c r="T698" s="420"/>
      <c r="U698" s="420"/>
      <c r="V698" s="420"/>
      <c r="W698" s="420"/>
      <c r="X698" s="420"/>
      <c r="Y698" s="420"/>
      <c r="Z698" s="383"/>
    </row>
    <row r="699" spans="1:26" ht="15">
      <c r="A699" s="420"/>
      <c r="B699" s="420"/>
      <c r="C699" s="420"/>
      <c r="D699" s="420"/>
      <c r="E699" s="420"/>
      <c r="F699" s="420"/>
      <c r="G699" s="420"/>
      <c r="H699" s="420"/>
      <c r="I699" s="420"/>
      <c r="J699" s="420"/>
      <c r="K699" s="420"/>
      <c r="L699" s="420"/>
      <c r="M699" s="420"/>
      <c r="N699" s="420"/>
      <c r="O699" s="420"/>
      <c r="P699" s="420"/>
      <c r="Q699" s="420"/>
      <c r="R699" s="420"/>
      <c r="S699" s="420"/>
      <c r="T699" s="420"/>
      <c r="U699" s="420"/>
      <c r="V699" s="420"/>
      <c r="W699" s="420"/>
      <c r="X699" s="420"/>
      <c r="Y699" s="420"/>
      <c r="Z699" s="384"/>
    </row>
    <row r="700" spans="1:26" ht="15">
      <c r="A700" s="420"/>
      <c r="B700" s="420"/>
      <c r="C700" s="420"/>
      <c r="D700" s="420"/>
      <c r="E700" s="420"/>
      <c r="F700" s="420"/>
      <c r="G700" s="420"/>
      <c r="H700" s="420"/>
      <c r="I700" s="420"/>
      <c r="J700" s="420"/>
      <c r="K700" s="420"/>
      <c r="L700" s="420"/>
      <c r="M700" s="420"/>
      <c r="N700" s="420"/>
      <c r="O700" s="420"/>
      <c r="P700" s="420"/>
      <c r="Q700" s="420"/>
      <c r="R700" s="420"/>
      <c r="S700" s="420"/>
      <c r="T700" s="420"/>
      <c r="U700" s="420"/>
      <c r="V700" s="420"/>
      <c r="W700" s="420"/>
      <c r="X700" s="420"/>
      <c r="Y700" s="420"/>
      <c r="Z700" s="384"/>
    </row>
    <row r="701" spans="1:26" ht="15">
      <c r="A701" s="420"/>
      <c r="B701" s="420"/>
      <c r="C701" s="420"/>
      <c r="D701" s="420"/>
      <c r="E701" s="420"/>
      <c r="F701" s="420"/>
      <c r="G701" s="420"/>
      <c r="H701" s="420"/>
      <c r="I701" s="420"/>
      <c r="J701" s="420"/>
      <c r="K701" s="420"/>
      <c r="L701" s="420"/>
      <c r="M701" s="420"/>
      <c r="N701" s="420"/>
      <c r="O701" s="420"/>
      <c r="P701" s="420"/>
      <c r="Q701" s="420"/>
      <c r="R701" s="420"/>
      <c r="S701" s="420"/>
      <c r="T701" s="420"/>
      <c r="U701" s="420"/>
      <c r="V701" s="420"/>
      <c r="W701" s="420"/>
      <c r="X701" s="420"/>
      <c r="Y701" s="420"/>
      <c r="Z701" s="384"/>
    </row>
    <row r="702" spans="1:26" ht="15">
      <c r="A702" s="420"/>
      <c r="B702" s="420"/>
      <c r="C702" s="420"/>
      <c r="D702" s="420"/>
      <c r="E702" s="420"/>
      <c r="F702" s="420"/>
      <c r="G702" s="420"/>
      <c r="H702" s="420"/>
      <c r="I702" s="420"/>
      <c r="J702" s="420"/>
      <c r="K702" s="420"/>
      <c r="L702" s="420"/>
      <c r="M702" s="420"/>
      <c r="N702" s="420"/>
      <c r="O702" s="420"/>
      <c r="P702" s="420"/>
      <c r="Q702" s="420"/>
      <c r="R702" s="420"/>
      <c r="S702" s="420"/>
      <c r="T702" s="420"/>
      <c r="U702" s="420"/>
      <c r="V702" s="420"/>
      <c r="W702" s="420"/>
      <c r="X702" s="420"/>
      <c r="Y702" s="420"/>
      <c r="Z702" s="384"/>
    </row>
    <row r="703" spans="1:26" ht="15">
      <c r="A703" s="420"/>
      <c r="B703" s="420"/>
      <c r="C703" s="420"/>
      <c r="D703" s="420"/>
      <c r="E703" s="420"/>
      <c r="F703" s="420"/>
      <c r="G703" s="420"/>
      <c r="H703" s="420"/>
      <c r="I703" s="420"/>
      <c r="J703" s="420"/>
      <c r="K703" s="420"/>
      <c r="L703" s="420"/>
      <c r="M703" s="420"/>
      <c r="N703" s="420"/>
      <c r="O703" s="420"/>
      <c r="P703" s="420"/>
      <c r="Q703" s="420"/>
      <c r="R703" s="420"/>
      <c r="S703" s="420"/>
      <c r="T703" s="420"/>
      <c r="U703" s="420"/>
      <c r="V703" s="420"/>
      <c r="W703" s="420"/>
      <c r="X703" s="420"/>
      <c r="Y703" s="420"/>
      <c r="Z703" s="384"/>
    </row>
    <row r="704" spans="1:26" ht="15">
      <c r="A704" s="420"/>
      <c r="B704" s="420"/>
      <c r="C704" s="420"/>
      <c r="D704" s="420"/>
      <c r="E704" s="420"/>
      <c r="F704" s="420"/>
      <c r="G704" s="420"/>
      <c r="H704" s="420"/>
      <c r="I704" s="420"/>
      <c r="J704" s="420"/>
      <c r="K704" s="420"/>
      <c r="L704" s="420"/>
      <c r="M704" s="420"/>
      <c r="N704" s="420"/>
      <c r="O704" s="420"/>
      <c r="P704" s="420"/>
      <c r="Q704" s="420"/>
      <c r="R704" s="420"/>
      <c r="S704" s="420"/>
      <c r="T704" s="420"/>
      <c r="U704" s="420"/>
      <c r="V704" s="420"/>
      <c r="W704" s="420"/>
      <c r="X704" s="420"/>
      <c r="Y704" s="420"/>
      <c r="Z704" s="384"/>
    </row>
    <row r="705" spans="1:26" ht="1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384"/>
    </row>
    <row r="706" spans="1:26" ht="1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384"/>
    </row>
    <row r="707" spans="1:26" ht="1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384"/>
    </row>
    <row r="708" spans="1:26" ht="1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384"/>
    </row>
    <row r="709" spans="1:26" ht="1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384"/>
    </row>
    <row r="710" spans="1:26" ht="1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384"/>
    </row>
    <row r="711" spans="1:26" ht="1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384"/>
    </row>
    <row r="712" spans="1:26" ht="1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384"/>
    </row>
    <row r="713" spans="1:26" ht="1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384"/>
    </row>
    <row r="714" spans="1:26" ht="1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384"/>
    </row>
    <row r="715" spans="1:26" ht="1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384"/>
    </row>
    <row r="716" spans="1:26" ht="1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384"/>
    </row>
    <row r="717" spans="1:26" ht="1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384"/>
    </row>
  </sheetData>
  <sortState ref="A2:Y704">
    <sortCondition ref="P2:P7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Asset % to Portfolio</vt:lpstr>
      <vt:lpstr>Investment Position</vt:lpstr>
      <vt:lpstr>WebPosting</vt:lpstr>
      <vt:lpstr>INV500 </vt:lpstr>
      <vt:lpstr>Time Deposits</vt:lpstr>
      <vt:lpstr>'Asset % to Portfolio'!Print_Area</vt:lpstr>
      <vt:lpstr>WebPosting!Print_Area</vt:lpstr>
    </vt:vector>
  </TitlesOfParts>
  <Company>Illinois State Treasurer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Poeschel</dc:creator>
  <cp:lastModifiedBy>Irwin, Jon</cp:lastModifiedBy>
  <cp:lastPrinted>2017-04-03T14:04:53Z</cp:lastPrinted>
  <dcterms:created xsi:type="dcterms:W3CDTF">2007-12-05T17:35:20Z</dcterms:created>
  <dcterms:modified xsi:type="dcterms:W3CDTF">2017-04-03T14:05:33Z</dcterms:modified>
</cp:coreProperties>
</file>